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HFD\Downloads\"/>
    </mc:Choice>
  </mc:AlternateContent>
  <xr:revisionPtr revIDLastSave="0" documentId="13_ncr:1_{D5EED6F3-C79C-4F1B-BEA1-EA5A5897CBEF}" xr6:coauthVersionLast="47" xr6:coauthVersionMax="47" xr10:uidLastSave="{00000000-0000-0000-0000-000000000000}"/>
  <workbookProtection workbookAlgorithmName="SHA-512" workbookHashValue="J11AOOrzC3w7NxUK6jm2YO/u0AQLB9q3Al2Ho21r7ceF6y7mhyLYLBRO/HlfvAhX0QRBUC8mn9VUoASVZ7xjig==" workbookSaltValue="ReFcy1uxit2RZzXk0G+I+Q==" workbookSpinCount="100000" lockStructure="1"/>
  <bookViews>
    <workbookView xWindow="-108" yWindow="-108" windowWidth="23256" windowHeight="13896" xr2:uid="{00000000-000D-0000-FFFF-FFFF00000000}"/>
  </bookViews>
  <sheets>
    <sheet name="PRSA Transfer Form" sheetId="1" r:id="rId1"/>
    <sheet name="Providers" sheetId="3" state="hidden" r:id="rId2"/>
    <sheet name="AMC" sheetId="4" state="hidden" r:id="rId3"/>
    <sheet name="Aviva Commission" sheetId="5" state="hidden" r:id="rId4"/>
  </sheets>
  <externalReferences>
    <externalReference r:id="rId5"/>
  </externalReferences>
  <definedNames>
    <definedName name="Annuitant_Mortality_Improvement_Base_Year">[1]An!$K$2</definedName>
    <definedName name="AVC_only">[1]Report!$B$10</definedName>
    <definedName name="CPI_rate">[1]Fact!$D$18</definedName>
    <definedName name="DIS">[1]Inputs!$B$49</definedName>
    <definedName name="Discount_Rate">[1]Fact!$D$17</definedName>
    <definedName name="DJC">[1]Inputs!$B$7</definedName>
    <definedName name="DJS">[1]Inputs!$B$8</definedName>
    <definedName name="DOB">[1]Inputs!$B$6</definedName>
    <definedName name="DOC">[1]Inputs!$B$3</definedName>
    <definedName name="DOL">[1]Inputs!$B$9</definedName>
    <definedName name="ER_Age">[1]Inputs!$E$7</definedName>
    <definedName name="ER_Date">[1]Inputs!$E$8</definedName>
    <definedName name="ERA">[1]Out!#REF!</definedName>
    <definedName name="Exact_Age">[1]Inputs!$E$5</definedName>
    <definedName name="FA2009_Govt_Levy">[1]An!$K$48</definedName>
    <definedName name="Market_ER_Annuity">[1]Out!$E$6</definedName>
    <definedName name="Market_NRD_Annuity">[1]Out!$E$5</definedName>
    <definedName name="Max_TFC">[1]Fact!$C$12</definedName>
    <definedName name="Max_TFC_ERD">[1]Fact!$C$15</definedName>
    <definedName name="Max_TFC_NRD">[1]Fact!$C$14</definedName>
    <definedName name="Name">[1]Inputs!$B$5</definedName>
    <definedName name="NRA">[1]Inputs!$B$12</definedName>
    <definedName name="NRD">[1]Inputs!$E$6</definedName>
    <definedName name="Ongoing_ER_Annuity">[1]Out!$D$6</definedName>
    <definedName name="Ongoing_NRD_Annuity">[1]Out!$D$5</definedName>
    <definedName name="OPS_TFLS_Pct">[1]Fact!$C$11</definedName>
    <definedName name="Proj_Fund_ER_OPS">[1]Out!$D$28</definedName>
    <definedName name="Proj_Fund_ER_OPS_Real">[1]Out!$D$29</definedName>
    <definedName name="Proj_Fund_ER_PRSA">[1]Out!$E$28</definedName>
    <definedName name="Proj_Fund_ER_PRSA_Real">[1]Out!$E$29</definedName>
    <definedName name="Proj_Fund_NRD_OPS">[1]Out!$D$26</definedName>
    <definedName name="Proj_Fund_NRD_OPS_Real">[1]Out!$D$27</definedName>
    <definedName name="Proj_Fund_NRD_PRSA">[1]Out!$E$26</definedName>
    <definedName name="Proj_Fund_NRD_PRSA_Real">[1]Out!$E$27</definedName>
    <definedName name="PRSA_TFLS_Pct">[1]Fact!$C$10</definedName>
    <definedName name="PublicSectorAVC">[1]Report!$B$286</definedName>
    <definedName name="Salary_rate">[1]Fact!$D$16</definedName>
    <definedName name="Sex">[1]Inputs!$B$10</definedName>
    <definedName name="TFLS_ER_OPS">[1]Out!$D$44</definedName>
    <definedName name="TFLS_ER_OPS_PV">[1]Out!$D$48</definedName>
    <definedName name="TFLS_ER_PRSA">[1]Out!$E$44</definedName>
    <definedName name="TFLS_IH_OPS">[1]Out!$D$45</definedName>
    <definedName name="TFLS_IH_PRSA">[1]Out!$E$45</definedName>
    <definedName name="TFLS_NRD_OPS">[1]Out!$D$43</definedName>
    <definedName name="TFLS_NRD_OPS_PV">[1]Out!$D$47</definedName>
    <definedName name="TFLS_NRD_PRSA">[1]Out!$E$43</definedName>
    <definedName name="Waive_TFC">[1]Report!$B$12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 l="1"/>
  <c r="E26" i="1"/>
  <c r="E27" i="1"/>
  <c r="E61" i="1"/>
  <c r="D50" i="1"/>
  <c r="D51" i="1"/>
  <c r="D52" i="1"/>
  <c r="D53" i="1"/>
  <c r="D54" i="1"/>
  <c r="D55" i="1"/>
  <c r="D49" i="1"/>
  <c r="A82" i="1"/>
  <c r="D82" i="1" s="1"/>
  <c r="A80" i="1"/>
  <c r="D80" i="1" s="1"/>
  <c r="A81" i="1"/>
  <c r="D81" i="1" s="1"/>
  <c r="D75" i="1"/>
  <c r="C137" i="4"/>
  <c r="C136" i="4"/>
  <c r="C135" i="4"/>
  <c r="C134" i="4"/>
  <c r="C133" i="4"/>
  <c r="Q135" i="4"/>
  <c r="P135" i="4"/>
  <c r="O135" i="4"/>
  <c r="N135" i="4"/>
  <c r="M135" i="4"/>
  <c r="Q134" i="4"/>
  <c r="P134" i="4"/>
  <c r="O134" i="4"/>
  <c r="N134" i="4"/>
  <c r="M134" i="4"/>
  <c r="Q133" i="4"/>
  <c r="P133" i="4"/>
  <c r="O133" i="4"/>
  <c r="N133" i="4"/>
  <c r="M133" i="4"/>
  <c r="C21" i="5"/>
  <c r="C19" i="5"/>
  <c r="F78" i="4"/>
  <c r="F77" i="4"/>
  <c r="F76" i="4"/>
  <c r="F75" i="4"/>
  <c r="F74" i="4"/>
  <c r="C155" i="4"/>
  <c r="E155" i="4" s="1"/>
  <c r="C156" i="4"/>
  <c r="E156" i="4" s="1"/>
  <c r="C157" i="4"/>
  <c r="E157" i="4" s="1"/>
  <c r="C154" i="4"/>
  <c r="E154" i="4" s="1"/>
  <c r="C163" i="4"/>
  <c r="E163" i="4" s="1"/>
  <c r="C169" i="4"/>
  <c r="E169" i="4" s="1"/>
  <c r="C175" i="4"/>
  <c r="E175" i="4" s="1"/>
  <c r="C176" i="4"/>
  <c r="E176" i="4" s="1"/>
  <c r="C177" i="4"/>
  <c r="E177" i="4" s="1"/>
  <c r="C178" i="4"/>
  <c r="E178" i="4" s="1"/>
  <c r="C179" i="4"/>
  <c r="E179" i="4" s="1"/>
  <c r="C180" i="4"/>
  <c r="E180" i="4" s="1"/>
  <c r="C174" i="4"/>
  <c r="E174" i="4" s="1"/>
  <c r="H9" i="4"/>
  <c r="H8" i="4"/>
  <c r="H7" i="4"/>
  <c r="H6" i="4"/>
  <c r="H5" i="4"/>
  <c r="H4" i="4"/>
  <c r="H19" i="4"/>
  <c r="H18" i="4"/>
  <c r="H17" i="4"/>
  <c r="H16" i="4"/>
  <c r="H15" i="4"/>
  <c r="H14" i="4"/>
  <c r="H13" i="4"/>
  <c r="H12" i="4"/>
  <c r="H11" i="4"/>
  <c r="H10" i="4"/>
  <c r="F19" i="4"/>
  <c r="F18" i="4"/>
  <c r="F17" i="4"/>
  <c r="F16" i="4"/>
  <c r="F15" i="4"/>
  <c r="F14" i="4"/>
  <c r="F13" i="4"/>
  <c r="F12" i="4"/>
  <c r="F11" i="4"/>
  <c r="F10" i="4"/>
  <c r="F9" i="4"/>
  <c r="F8" i="4"/>
  <c r="F7" i="4"/>
  <c r="F6" i="4"/>
  <c r="F5" i="4"/>
  <c r="F4" i="4"/>
  <c r="D6" i="4"/>
  <c r="D7" i="4" s="1"/>
  <c r="D8" i="4" s="1"/>
  <c r="D9" i="4" s="1"/>
  <c r="D10" i="4" s="1"/>
  <c r="D11" i="4" s="1"/>
  <c r="D12" i="4" s="1"/>
  <c r="D13" i="4" s="1"/>
  <c r="D14" i="4" s="1"/>
  <c r="D15" i="4" s="1"/>
  <c r="D16" i="4" s="1"/>
  <c r="D17" i="4" s="1"/>
  <c r="D18" i="4" s="1"/>
  <c r="D19" i="4" s="1"/>
  <c r="D71" i="4"/>
  <c r="D67" i="4"/>
  <c r="D68" i="4" s="1"/>
  <c r="D69" i="4" s="1"/>
  <c r="E61" i="4"/>
  <c r="E46" i="4"/>
  <c r="B183" i="4"/>
  <c r="B182" i="4"/>
  <c r="B13" i="5"/>
  <c r="B3" i="5"/>
  <c r="C1" i="5" s="1"/>
  <c r="B4" i="5" l="1"/>
  <c r="B184" i="4"/>
  <c r="C44" i="5"/>
  <c r="C43" i="5"/>
  <c r="C42" i="5"/>
  <c r="C41" i="5"/>
  <c r="C40" i="5"/>
  <c r="C39" i="5"/>
  <c r="C38" i="5"/>
  <c r="C37" i="5"/>
  <c r="C36" i="5"/>
  <c r="C35" i="5"/>
  <c r="C34" i="5"/>
  <c r="C33" i="5"/>
  <c r="C32" i="5"/>
  <c r="C31" i="5"/>
  <c r="C30" i="5"/>
  <c r="C29" i="5"/>
  <c r="C28" i="5"/>
  <c r="C27" i="5"/>
  <c r="C26" i="5"/>
  <c r="C25" i="5"/>
  <c r="C24" i="5"/>
  <c r="C23" i="5"/>
  <c r="C22" i="5"/>
  <c r="C20" i="5"/>
  <c r="C18" i="5"/>
  <c r="C17" i="5"/>
  <c r="C16" i="5"/>
  <c r="C15" i="5"/>
  <c r="A5" i="5"/>
  <c r="A6" i="5" s="1"/>
  <c r="A7" i="5" s="1"/>
  <c r="A8" i="5" s="1"/>
  <c r="A9" i="5" s="1"/>
  <c r="A10" i="5" s="1"/>
  <c r="A11" i="5" s="1"/>
  <c r="B10" i="5"/>
  <c r="D79" i="1"/>
  <c r="D78" i="1"/>
  <c r="D77" i="1"/>
  <c r="D76" i="1"/>
  <c r="E123" i="4"/>
  <c r="E124" i="4"/>
  <c r="E125" i="4"/>
  <c r="E126" i="4"/>
  <c r="E127" i="4"/>
  <c r="E122"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86" i="4"/>
  <c r="E81" i="4"/>
  <c r="E82" i="4"/>
  <c r="E83" i="4"/>
  <c r="E84" i="4"/>
  <c r="E80" i="4"/>
  <c r="E75" i="4"/>
  <c r="E76" i="4"/>
  <c r="E77" i="4"/>
  <c r="E78" i="4"/>
  <c r="E74" i="4"/>
  <c r="E42" i="4"/>
  <c r="E43" i="4"/>
  <c r="E44" i="4"/>
  <c r="E45" i="4"/>
  <c r="E47" i="4"/>
  <c r="E48" i="4"/>
  <c r="E49" i="4"/>
  <c r="E50" i="4"/>
  <c r="E51" i="4"/>
  <c r="E52" i="4"/>
  <c r="E53" i="4"/>
  <c r="E54" i="4"/>
  <c r="E55" i="4"/>
  <c r="E56" i="4"/>
  <c r="E57" i="4"/>
  <c r="E58" i="4"/>
  <c r="E59" i="4"/>
  <c r="E60" i="4"/>
  <c r="E62" i="4"/>
  <c r="E63" i="4"/>
  <c r="E64" i="4"/>
  <c r="E65" i="4"/>
  <c r="E66" i="4"/>
  <c r="E67" i="4"/>
  <c r="E68" i="4"/>
  <c r="E69" i="4"/>
  <c r="E70" i="4"/>
  <c r="E71" i="4"/>
  <c r="E72" i="4"/>
  <c r="E41" i="4"/>
  <c r="E119" i="4"/>
  <c r="E120" i="4"/>
  <c r="E121" i="4"/>
  <c r="E118" i="4"/>
  <c r="E32" i="4"/>
  <c r="E33" i="4"/>
  <c r="E34" i="4"/>
  <c r="E35" i="4"/>
  <c r="E36" i="4"/>
  <c r="E37" i="4"/>
  <c r="E38" i="4"/>
  <c r="E39" i="4"/>
  <c r="E22" i="4"/>
  <c r="E23" i="4"/>
  <c r="E24" i="4"/>
  <c r="E25" i="4"/>
  <c r="E26" i="4"/>
  <c r="E27" i="4"/>
  <c r="E28" i="4"/>
  <c r="E29" i="4"/>
  <c r="E30" i="4"/>
  <c r="E31" i="4"/>
  <c r="E21" i="4"/>
  <c r="E5" i="4"/>
  <c r="E6" i="4"/>
  <c r="E7" i="4"/>
  <c r="E8" i="4"/>
  <c r="E9" i="4"/>
  <c r="E10" i="4"/>
  <c r="E11" i="4"/>
  <c r="E12" i="4"/>
  <c r="E13" i="4"/>
  <c r="E14" i="4"/>
  <c r="E15" i="4"/>
  <c r="E16" i="4"/>
  <c r="E17" i="4"/>
  <c r="E18" i="4"/>
  <c r="E19" i="4"/>
  <c r="E4" i="4"/>
  <c r="C144" i="4"/>
  <c r="E144" i="4" s="1"/>
  <c r="C145" i="4"/>
  <c r="E145" i="4" s="1"/>
  <c r="C146" i="4"/>
  <c r="E146" i="4" s="1"/>
  <c r="C147" i="4"/>
  <c r="E147" i="4" s="1"/>
  <c r="C148" i="4"/>
  <c r="E148" i="4" s="1"/>
  <c r="C143" i="4"/>
  <c r="E143" i="4" s="1"/>
  <c r="B7" i="5" l="1"/>
  <c r="B11" i="5"/>
  <c r="B8" i="5"/>
  <c r="B5" i="5"/>
  <c r="B9" i="5"/>
  <c r="B6" i="5"/>
  <c r="F1" i="3"/>
  <c r="F2" i="3" a="1"/>
  <c r="F2" i="3" s="1"/>
  <c r="C21" i="3" s="1"/>
  <c r="A22" i="3"/>
  <c r="A23" i="3" s="1"/>
  <c r="A24" i="3" s="1"/>
  <c r="F112" i="4"/>
  <c r="F113" i="4"/>
  <c r="F114" i="4"/>
  <c r="F111" i="4"/>
  <c r="G21" i="4"/>
  <c r="G22" i="4"/>
  <c r="G23" i="4"/>
  <c r="G24" i="4"/>
  <c r="G25" i="4"/>
  <c r="G26" i="4"/>
  <c r="G27" i="4"/>
  <c r="G28" i="4"/>
  <c r="G29" i="4"/>
  <c r="G30" i="4"/>
  <c r="G31" i="4"/>
  <c r="G32" i="4"/>
  <c r="G33" i="4"/>
  <c r="G34" i="4"/>
  <c r="G35" i="4"/>
  <c r="G36" i="4"/>
  <c r="G37" i="4"/>
  <c r="G38" i="4"/>
  <c r="G39" i="4"/>
  <c r="M5" i="4"/>
  <c r="G5" i="4" s="1"/>
  <c r="M6" i="4"/>
  <c r="G6" i="4" s="1"/>
  <c r="M7" i="4"/>
  <c r="G7" i="4" s="1"/>
  <c r="M8" i="4"/>
  <c r="G8" i="4" s="1"/>
  <c r="M9" i="4"/>
  <c r="G9" i="4" s="1"/>
  <c r="M10" i="4"/>
  <c r="G10" i="4" s="1"/>
  <c r="M11" i="4"/>
  <c r="G11" i="4" s="1"/>
  <c r="M12" i="4"/>
  <c r="G12" i="4" s="1"/>
  <c r="M13" i="4"/>
  <c r="G13" i="4" s="1"/>
  <c r="M14" i="4"/>
  <c r="G14" i="4" s="1"/>
  <c r="M15" i="4"/>
  <c r="G15" i="4" s="1"/>
  <c r="M16" i="4"/>
  <c r="G16" i="4" s="1"/>
  <c r="G17" i="4"/>
  <c r="G18" i="4"/>
  <c r="G19" i="4"/>
  <c r="M4" i="4"/>
  <c r="G4" i="4" s="1"/>
  <c r="F22" i="4"/>
  <c r="F23" i="4"/>
  <c r="F24" i="4"/>
  <c r="F25" i="4"/>
  <c r="F26" i="4"/>
  <c r="F27" i="4"/>
  <c r="F28" i="4"/>
  <c r="F29" i="4"/>
  <c r="F30" i="4"/>
  <c r="F31" i="4"/>
  <c r="F21" i="4"/>
  <c r="F34" i="4"/>
  <c r="F35" i="4"/>
  <c r="F36" i="4"/>
  <c r="F37" i="4"/>
  <c r="F38" i="4"/>
  <c r="F33" i="4"/>
  <c r="F119" i="4"/>
  <c r="F120" i="4"/>
  <c r="F121" i="4"/>
  <c r="F118" i="4"/>
  <c r="C13" i="5" l="1"/>
  <c r="D13" i="5" s="1"/>
  <c r="E13" i="5" s="1"/>
  <c r="E24" i="1" s="1"/>
  <c r="C24" i="3"/>
  <c r="C23" i="3"/>
  <c r="C22" i="3"/>
  <c r="E133" i="4"/>
  <c r="B29" i="1" s="1"/>
  <c r="E134" i="4"/>
  <c r="E135" i="4"/>
  <c r="E136" i="4"/>
  <c r="E137" i="4"/>
  <c r="D19" i="3"/>
  <c r="B30" i="1" l="1"/>
  <c r="C19" i="3"/>
  <c r="C34" i="1"/>
  <c r="G1" i="3"/>
  <c r="B56" i="1"/>
  <c r="C56" i="1" s="1"/>
  <c r="D36" i="1" l="1"/>
  <c r="D39" i="1"/>
  <c r="D40" i="1"/>
  <c r="D41" i="1"/>
  <c r="D37" i="1"/>
  <c r="D42" i="1"/>
  <c r="D38" i="1"/>
  <c r="D35" i="1"/>
  <c r="F139" i="3"/>
  <c r="F131" i="3"/>
  <c r="F123" i="3"/>
  <c r="F115" i="3"/>
  <c r="F107" i="3"/>
  <c r="F99" i="3"/>
  <c r="F91" i="3"/>
  <c r="F83" i="3"/>
  <c r="F75" i="3"/>
  <c r="F67" i="3"/>
  <c r="F59" i="3"/>
  <c r="F51" i="3"/>
  <c r="F43" i="3"/>
  <c r="F35" i="3"/>
  <c r="F27" i="3"/>
  <c r="F19" i="3"/>
  <c r="F11" i="3"/>
  <c r="F126" i="3"/>
  <c r="F54" i="3"/>
  <c r="F14" i="3"/>
  <c r="F138" i="3"/>
  <c r="F130" i="3"/>
  <c r="F122" i="3"/>
  <c r="F114" i="3"/>
  <c r="F106" i="3"/>
  <c r="F98" i="3"/>
  <c r="F90" i="3"/>
  <c r="F82" i="3"/>
  <c r="F74" i="3"/>
  <c r="F66" i="3"/>
  <c r="F58" i="3"/>
  <c r="F50" i="3"/>
  <c r="F42" i="3"/>
  <c r="F34" i="3"/>
  <c r="F26" i="3"/>
  <c r="F18" i="3"/>
  <c r="F10" i="3"/>
  <c r="F110" i="3"/>
  <c r="F86" i="3"/>
  <c r="F62" i="3"/>
  <c r="F46" i="3"/>
  <c r="F22" i="3"/>
  <c r="F6" i="3"/>
  <c r="F137" i="3"/>
  <c r="F129" i="3"/>
  <c r="F121" i="3"/>
  <c r="F113" i="3"/>
  <c r="F105" i="3"/>
  <c r="F97" i="3"/>
  <c r="F89" i="3"/>
  <c r="F81" i="3"/>
  <c r="F73" i="3"/>
  <c r="F65" i="3"/>
  <c r="F57" i="3"/>
  <c r="F49" i="3"/>
  <c r="F41" i="3"/>
  <c r="F33" i="3"/>
  <c r="F25" i="3"/>
  <c r="F17" i="3"/>
  <c r="F9" i="3"/>
  <c r="F118" i="3"/>
  <c r="F94" i="3"/>
  <c r="F70" i="3"/>
  <c r="F30" i="3"/>
  <c r="F136" i="3"/>
  <c r="F128" i="3"/>
  <c r="F120" i="3"/>
  <c r="F112" i="3"/>
  <c r="F104" i="3"/>
  <c r="F96" i="3"/>
  <c r="F88" i="3"/>
  <c r="F80" i="3"/>
  <c r="F72" i="3"/>
  <c r="F64" i="3"/>
  <c r="F56" i="3"/>
  <c r="F48" i="3"/>
  <c r="F40" i="3"/>
  <c r="F32" i="3"/>
  <c r="F24" i="3"/>
  <c r="F16" i="3"/>
  <c r="F8" i="3"/>
  <c r="F135" i="3"/>
  <c r="F127" i="3"/>
  <c r="F119" i="3"/>
  <c r="F111" i="3"/>
  <c r="F103" i="3"/>
  <c r="F95" i="3"/>
  <c r="F87" i="3"/>
  <c r="F79" i="3"/>
  <c r="F71" i="3"/>
  <c r="F63" i="3"/>
  <c r="F55" i="3"/>
  <c r="F47" i="3"/>
  <c r="F39" i="3"/>
  <c r="F31" i="3"/>
  <c r="F23" i="3"/>
  <c r="F15" i="3"/>
  <c r="F7" i="3"/>
  <c r="F134" i="3"/>
  <c r="F102" i="3"/>
  <c r="F78" i="3"/>
  <c r="F38" i="3"/>
  <c r="F133" i="3"/>
  <c r="F125" i="3"/>
  <c r="F117" i="3"/>
  <c r="F109" i="3"/>
  <c r="F101" i="3"/>
  <c r="F93" i="3"/>
  <c r="F85" i="3"/>
  <c r="F77" i="3"/>
  <c r="F69" i="3"/>
  <c r="F61" i="3"/>
  <c r="F53" i="3"/>
  <c r="F45" i="3"/>
  <c r="F37" i="3"/>
  <c r="F29" i="3"/>
  <c r="F21" i="3"/>
  <c r="F13" i="3"/>
  <c r="F5" i="3"/>
  <c r="F132" i="3"/>
  <c r="F124" i="3"/>
  <c r="F116" i="3"/>
  <c r="F108" i="3"/>
  <c r="F100" i="3"/>
  <c r="F92" i="3"/>
  <c r="F84" i="3"/>
  <c r="F76" i="3"/>
  <c r="F68" i="3"/>
  <c r="F60" i="3"/>
  <c r="F52" i="3"/>
  <c r="F44" i="3"/>
  <c r="F36" i="3"/>
  <c r="F28" i="3"/>
  <c r="F20" i="3"/>
  <c r="F12" i="3"/>
  <c r="F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<sst xmlns="http://schemas.openxmlformats.org/spreadsheetml/2006/main" count="646" uniqueCount="343">
  <si>
    <t>Please complete all information below or provide supporting documentation with the information.</t>
  </si>
  <si>
    <t>Background to case</t>
  </si>
  <si>
    <t xml:space="preserve">Member information </t>
  </si>
  <si>
    <t>Name</t>
  </si>
  <si>
    <t>Date of birth</t>
  </si>
  <si>
    <t>Marital Status</t>
  </si>
  <si>
    <t>Date of joining company</t>
  </si>
  <si>
    <t>Date of joining scheme</t>
  </si>
  <si>
    <t>Date left company</t>
  </si>
  <si>
    <t>Normal Retirement Age in Scheme</t>
  </si>
  <si>
    <t>Final Salary</t>
  </si>
  <si>
    <t>DC Scheme Information</t>
  </si>
  <si>
    <t>Fund Name (List all available investment or provide a copy of an investment guide)</t>
  </si>
  <si>
    <t>Annual Fund Charge %</t>
  </si>
  <si>
    <t>Other fund charges, Bid Offer Spread, Exit Charges</t>
  </si>
  <si>
    <t>Total Value</t>
  </si>
  <si>
    <t>DC Occupational Scheme Name</t>
  </si>
  <si>
    <t>Details of all other charges in DC Scheme e.g. annual fee, bonus, exit penalties, PA fee etc</t>
  </si>
  <si>
    <t>Is the ARF option available to members at retirement?</t>
  </si>
  <si>
    <t>PRSA Information</t>
  </si>
  <si>
    <t>PRSA Provider chosen</t>
  </si>
  <si>
    <t>PRSA Product Name</t>
  </si>
  <si>
    <t>Transfer Value</t>
  </si>
  <si>
    <t>€ amount invested</t>
  </si>
  <si>
    <t>Other</t>
  </si>
  <si>
    <t>Y/N</t>
  </si>
  <si>
    <t>Has member waived their TFC in the OPS?</t>
  </si>
  <si>
    <t>Is scheme winding up?</t>
  </si>
  <si>
    <t>Is there a Pensions Adjustment Order attached to the pension?</t>
  </si>
  <si>
    <t xml:space="preserve"> </t>
  </si>
  <si>
    <t>€ Current Value including any AVCs</t>
  </si>
  <si>
    <t>Have you requested a Benefit Statement from the Trustees of the DC Scheme as allowed under s113 of the Pensions Act? Y/N.  Please provide a copy.</t>
  </si>
  <si>
    <t>Particularly relevant if benefits are more than just the fund value</t>
  </si>
  <si>
    <t>If not left service, what Employer contributions are being paid in DC scheme and what they intend contributing to the PRSA</t>
  </si>
  <si>
    <t>If not left service, what Employee contributions are being paid in DC scheme and what they intend contributing to the PRSA</t>
  </si>
  <si>
    <t>Gender</t>
  </si>
  <si>
    <t>Acorn Life</t>
  </si>
  <si>
    <t>Aviva Life &amp; Pensions Ireland</t>
  </si>
  <si>
    <t>Cantor Fitzgerald Ireland</t>
  </si>
  <si>
    <t>Goodbody Stockbrokers</t>
  </si>
  <si>
    <t>Independent Trustee Company Limited</t>
  </si>
  <si>
    <t>Irish Life Assurance</t>
  </si>
  <si>
    <t>Newcourt Retirement Fund Managers</t>
  </si>
  <si>
    <t>New Ireland Assurance</t>
  </si>
  <si>
    <t>Quest Retirement Solutions Limited</t>
  </si>
  <si>
    <t>Saol Assurance</t>
  </si>
  <si>
    <t>Standard Life International</t>
  </si>
  <si>
    <t>Zurich Life Assurance</t>
  </si>
  <si>
    <t>Providers</t>
  </si>
  <si>
    <t>Products</t>
  </si>
  <si>
    <t>ITC Non-Standard PRSA 1</t>
  </si>
  <si>
    <t>Newcourt Self-Invested Non-Standard PRSA</t>
  </si>
  <si>
    <t>Quest Retirement Solutions Non-Standard PRSA</t>
  </si>
  <si>
    <t>ITC Non-Standard PRSA 2</t>
  </si>
  <si>
    <t>ITC Non-Standard PRSA 3</t>
  </si>
  <si>
    <t>Standard PRSA - Product A - (APP/H/217/S)</t>
  </si>
  <si>
    <t>Standard PRSA - Product B - (APP/H/316/S)</t>
  </si>
  <si>
    <t>Standard PRSA - Product C - (APP/H/397/S)</t>
  </si>
  <si>
    <t>Standard PRSA - Product D - (APP/H/170/S)</t>
  </si>
  <si>
    <t>Standard PRSA - Product E - (APP/H/748/S)</t>
  </si>
  <si>
    <t>Standard PRSA - Product F - (APP/H/137/S)</t>
  </si>
  <si>
    <t>Standard PRSA - Product G - (APP/H/117/S)</t>
  </si>
  <si>
    <t>PRSA Choice/PRSA Plus - (APP/H/525/NS)</t>
  </si>
  <si>
    <t>Non-Standard PRSA - Product 4 - (APP/H/035/NS)</t>
  </si>
  <si>
    <t>Non Standard PRSA - Product 5 - (APP/H/109/NS)</t>
  </si>
  <si>
    <t>Non-Standard PRSA - Product 6 - (APP/H/874/NS)</t>
  </si>
  <si>
    <t>Non-Standard PRSA - Product 7 - (APP/H/723/NS)</t>
  </si>
  <si>
    <t>Non-Standard PRSA - Product 8 - (APP/H/176/NS)</t>
  </si>
  <si>
    <t>Non-Standard PRSA - Product 9 - (APP/H/503/NS)</t>
  </si>
  <si>
    <t>Non-Standard PRSA - Product 10 - (APP/H/084/NS)</t>
  </si>
  <si>
    <t>Non-Standard PRSA - Product 11 - (APP/H/059/NS)</t>
  </si>
  <si>
    <t>Non-Standard PRSA - Product 12 - (APP/H/962/NS)</t>
  </si>
  <si>
    <t>Non-Standard PRSA - Product 13 - (APP/H/508/NS)</t>
  </si>
  <si>
    <t>Non-Standard PRSA - Product 14 - (APP/H/858/NS)</t>
  </si>
  <si>
    <t>Acorn Life Standard PRSA - (APP/E/974/S)</t>
  </si>
  <si>
    <t>Acorn Life Smart PRSA 1 - (APP/E/970/NS)</t>
  </si>
  <si>
    <t>Acorn Life Smart PRSA 2 - (APP/E/971/NS)</t>
  </si>
  <si>
    <t>Acorn Life Smart PRSA 3 - (APP/E/972/NS)</t>
  </si>
  <si>
    <t>Acorn Life Smart PRSA 4 - (APP/E/973/NS)</t>
  </si>
  <si>
    <t>Conductor PRSA (5%) - (APP/N/742/NS)</t>
  </si>
  <si>
    <t>Conductor PRSA (3.5%) - (APP/N/595/NS)</t>
  </si>
  <si>
    <t>Conductor PRSA (2%) - (APP/N/854/NS)</t>
  </si>
  <si>
    <t>Conductor PRSA (0%) - (APP/N/921/NS)</t>
  </si>
  <si>
    <t>Aviva PRSA Option 1   - (APP/F/975/NS)</t>
  </si>
  <si>
    <t>Aviva PRSA Option 2   - (APP/F/976/NS)</t>
  </si>
  <si>
    <t>Aviva PRSA Option 3   - (APP/F/977/NS)</t>
  </si>
  <si>
    <t>Aviva PRSA Option 4 - (APP/F/978/NS)</t>
  </si>
  <si>
    <t>Aviva PRSA Option 5 - (APP/F/979/NS)</t>
  </si>
  <si>
    <t>Aviva PRSA Option 6 - (APP/F/980/NS)</t>
  </si>
  <si>
    <t>Aviva PRSA Option 7 - (APP/F/981/NS)</t>
  </si>
  <si>
    <t>Aviva PRSA Option 8 - (APP/F/982/NS)</t>
  </si>
  <si>
    <t>Aviva PRSA Option 9 - (APP/F/983/NS)</t>
  </si>
  <si>
    <t>Aviva PRSA Option 10 - (APP/F/984/NS)</t>
  </si>
  <si>
    <t>Aviva PRSA Option 11 - (APP/F/985/NS)</t>
  </si>
  <si>
    <t>Aviva PRSA Option 12 - (APP/F/986/NS)</t>
  </si>
  <si>
    <t>Aviva PRSA Option 13 - (APP/F/987/NS)</t>
  </si>
  <si>
    <t>Aviva PRSA Option 14 - (APP/F/988/NS)</t>
  </si>
  <si>
    <t>Aviva PRSA Option 15 - (APP/F/989/NS)</t>
  </si>
  <si>
    <t>Aviva PRSA Option 16 - (APP/F/990/NS)</t>
  </si>
  <si>
    <t>Aviva PRSA Option 17 - (APP/F/991/NS)</t>
  </si>
  <si>
    <t>Aviva PRSA Option 18 - (APP/F/992/NS)</t>
  </si>
  <si>
    <t>PRSA Standard (1% &amp; 5%) - (APP/K/935/S)</t>
  </si>
  <si>
    <t>Corporate Standard PRSA - (APP/K/627/S)</t>
  </si>
  <si>
    <t>Corporate Standard Group PRSA - (APP/K/719/S)</t>
  </si>
  <si>
    <t>Company Standard PRSA - (APP/K/813/S)</t>
  </si>
  <si>
    <t>Company Standard Group PRSA - (APP/K/243/S)</t>
  </si>
  <si>
    <t>Complete Solutions PRSA Standard (5%) - (APP/K/349/S)</t>
  </si>
  <si>
    <t>Complete Solutions PRSA Standard (3%) - (APP/K/997/S)</t>
  </si>
  <si>
    <t>Complete Solutions PRSA Standard (1.5%) - (APP/K/751/S)</t>
  </si>
  <si>
    <t>Complete Solutions PRSA Standard (0%) - (APP/K/897/S)</t>
  </si>
  <si>
    <t>Company Standard PRSA (0%, 0.75%) - (APP/K/072/S)</t>
  </si>
  <si>
    <t>Company Standard PRSA (1%, 0.75%) - (APP/K/812/S)</t>
  </si>
  <si>
    <t>Company Standard PRSA (0%, 1%) - (APP/K/942/S)</t>
  </si>
  <si>
    <t>Company Standard PRSA (1%, 1%) - (APP/K/685/S)</t>
  </si>
  <si>
    <t>Company Standard PRSA (2%, 1%) - (APP/K/237/S)</t>
  </si>
  <si>
    <t>Company Standard PRSA (3%, 1%) - (APP/K/544/S)</t>
  </si>
  <si>
    <t>Company Standard PRSA (0%, 0.50%) - (APP/K/119/S)</t>
  </si>
  <si>
    <t>Clear PRSA (1%, 5%) - (APP/K/640/S)</t>
  </si>
  <si>
    <t>Clear PRSA (1%, 0%) - (APP/K/716/S)</t>
  </si>
  <si>
    <t>Company Standard Group PRSA (0%, 0.75%) - (APP/K/736/S)</t>
  </si>
  <si>
    <t>Complete Solutions PRSA Options (5%) - (APP/K/696/NS)</t>
  </si>
  <si>
    <t>Complete Solutions PRSA Options (3%) - (APP/K/216/NS)</t>
  </si>
  <si>
    <t>Complete Solutions PRSA Options (1.5%) - (APP/K/713/NS)</t>
  </si>
  <si>
    <t>Complete Solutions PRSA Options (0%) - (APP/K/122/NS)</t>
  </si>
  <si>
    <t>Irish Life PRSA Plan J - (APP/K/141/NS)</t>
  </si>
  <si>
    <t>Irish Life PRSA Plan K - (APP/K/530/NS)</t>
  </si>
  <si>
    <t>Irish Life PRSA Plan L - (APP/K/347/NS)</t>
  </si>
  <si>
    <t>Irish Life PRSA Plan M - (APP/K/331/NS)</t>
  </si>
  <si>
    <t>Irish Life PRSA Plan N - (APP/K/332/NS)</t>
  </si>
  <si>
    <t>Irish Life PRSA Plan O - (APP/K/333/NS)</t>
  </si>
  <si>
    <t>Complete Solutions PRSA Plus - (APP/K/1013/NS)</t>
  </si>
  <si>
    <t>PRSA (A) - APP/AA/998/NS</t>
  </si>
  <si>
    <t>PRSA (B) - APP/AA/999/NS</t>
  </si>
  <si>
    <t>PRSA (C) - APP/AA/1000/NS</t>
  </si>
  <si>
    <t>PRSA (D) - APP/AA/1001NS</t>
  </si>
  <si>
    <t>PRSA (E) - APP/AA/1002/NS</t>
  </si>
  <si>
    <t>Zurich PRSA -- RFAL - (APP/J/371/S)</t>
  </si>
  <si>
    <t>Zurich PRSA -- RFAA - (APP/J/406/S)</t>
  </si>
  <si>
    <t>Zurich PRSA -- RFAJ - (APP/J/369/S)</t>
  </si>
  <si>
    <t>Zurich PRSA -- RFAO - (APP/J/953/S)</t>
  </si>
  <si>
    <t>Zurich PRSA -- RFAP - (APP/J/565/S)</t>
  </si>
  <si>
    <t>Zurich PRSA -- RFAQ - (APP/J/291/S)</t>
  </si>
  <si>
    <t>Aon Standard -- RFAR - (APP/J/163/S)</t>
  </si>
  <si>
    <t>Aon Standard -- RFAS - (APP/J/730/S)</t>
  </si>
  <si>
    <t>Zurich PRSA - RFAU - (APP/J/954/S)</t>
  </si>
  <si>
    <t>Zurich PRSA - RFAV - (APP/J/955/S)</t>
  </si>
  <si>
    <t>Zurich PRSA - RFAW - (APP/J/956/S)</t>
  </si>
  <si>
    <t>Zurich PRSA - RFBA - (APP/J/1003/S)</t>
  </si>
  <si>
    <t>Zurich PRSA - RFBB - (APP/J/1004/S)</t>
  </si>
  <si>
    <t>Zurich PRSA -- RFAM - (APP/J/779/NS)</t>
  </si>
  <si>
    <t>Zurich PRSA -- RFAB - (APP/J/242/NS)</t>
  </si>
  <si>
    <t>Zurich PRSA -- RFAG - (APP/J/158/NS)</t>
  </si>
  <si>
    <t>Zurich PRSA -- RFAD - (APP/J/634/NS)</t>
  </si>
  <si>
    <t>Zurich PRSA -- RFAE - (APP/J/463/NS)</t>
  </si>
  <si>
    <t>Zurich PRSA -- RFAI - (APP/J/193/NS)</t>
  </si>
  <si>
    <t>Zurich PRSA -- RFAN - (APP/J/129/NS)</t>
  </si>
  <si>
    <t>Zurich PRSA -- RFAH - (APP/J/385/NS)</t>
  </si>
  <si>
    <t>Zurich PRSA -- RFAF - (APP/J/589/NS)</t>
  </si>
  <si>
    <t>Zurich PRSA -- RFAC - (APP/J/739/NS)</t>
  </si>
  <si>
    <t>Zurich PRSA -- RFAK - (APP/J/842/NS)</t>
  </si>
  <si>
    <t>Zurich PRSA - RFAT - (APP/J/843/NS)</t>
  </si>
  <si>
    <t>Zurich PRSA - RFAX - (APP/J/957/NS)</t>
  </si>
  <si>
    <t>Zurich PRSA - RFAY - (APP/J/958/NS)</t>
  </si>
  <si>
    <t>Zurich PRSA - RFAZ - (APP/J/959/NS)</t>
  </si>
  <si>
    <t>Zurich PRSA - RFBC - (APP/J/1005/NS)</t>
  </si>
  <si>
    <t>Synergy PRSA A - (APP/R/251/NS)</t>
  </si>
  <si>
    <t>Synergy PRSA B - (APP/R/459/NS)</t>
  </si>
  <si>
    <t>Synergy PRSA C - (APP/R/509/NS)</t>
  </si>
  <si>
    <t>Synergy PRSA D - (APP/R/152/NS)</t>
  </si>
  <si>
    <t>Synergy PRSA E - (APP/R/771/NS)</t>
  </si>
  <si>
    <t>Synergy PRSA F - (APP/R/239/NS)</t>
  </si>
  <si>
    <t>Synergy PRSA G - (APP/R/134/NS)</t>
  </si>
  <si>
    <t>Synergy PRSA H - (APP/R/443/NS)</t>
  </si>
  <si>
    <t>Synergy PRSA I - (APP/R/174/NS)</t>
  </si>
  <si>
    <t>Synergy PRSA J - (APP/R/1006/NS)</t>
  </si>
  <si>
    <t>Synergy PRSA K - (APP/R/1007/NS)</t>
  </si>
  <si>
    <t>Synergy PRSA L - (APP/R/1008/NS)</t>
  </si>
  <si>
    <t>Synergy PRSA M - (APP/R/1009/NS)</t>
  </si>
  <si>
    <t>Synergy PRSA N - (APP/R/1024/NS)</t>
  </si>
  <si>
    <t>Synergy PRSA O - (APP/R/1025/NS)</t>
  </si>
  <si>
    <t>Synergy PRSA P - (APP/R/1026/NS)</t>
  </si>
  <si>
    <t>ITC Non-Standard PRSA 1 - Leap</t>
  </si>
  <si>
    <t>ITC Non-Standard PRSA 2 - Leap</t>
  </si>
  <si>
    <t>ITC Non-Standard PRSA 3 - Leap</t>
  </si>
  <si>
    <t>Davy Advisory PRSA - Intermediary</t>
  </si>
  <si>
    <t>Davy Advisory PRSA - Portfolio Manager</t>
  </si>
  <si>
    <t>Davy Advisory PRSA - Direct</t>
  </si>
  <si>
    <t>Davy Select PRSA (Execution Only) - Intermediary</t>
  </si>
  <si>
    <t>Davy Select PRSA (Execution Only) - Direct</t>
  </si>
  <si>
    <t>Goodbody PRSA - Intermediary</t>
  </si>
  <si>
    <t>Goodbody PRSA - Affinity</t>
  </si>
  <si>
    <t>ITC</t>
  </si>
  <si>
    <t>Min</t>
  </si>
  <si>
    <t>addition</t>
  </si>
  <si>
    <t>Effective date of the Transfer Value</t>
  </si>
  <si>
    <t>Include any comment on charges you feel necessary</t>
  </si>
  <si>
    <t>Output wording</t>
  </si>
  <si>
    <t>Request fund fact sheets</t>
  </si>
  <si>
    <t>Y</t>
  </si>
  <si>
    <t>N</t>
  </si>
  <si>
    <t>Request for company</t>
  </si>
  <si>
    <t>Additional AMC field</t>
  </si>
  <si>
    <t>SAOL</t>
  </si>
  <si>
    <t>Acorn</t>
  </si>
  <si>
    <t xml:space="preserve">Expected AMC on product </t>
  </si>
  <si>
    <t>Other comment (pre filled by LCP)</t>
  </si>
  <si>
    <t>This includes trail commission of</t>
  </si>
  <si>
    <t>Rebate wording</t>
  </si>
  <si>
    <t>SLAC</t>
  </si>
  <si>
    <t>NI</t>
  </si>
  <si>
    <t>Trail</t>
  </si>
  <si>
    <t>AVIVA</t>
  </si>
  <si>
    <t>Rebate</t>
  </si>
  <si>
    <t>Contribution</t>
  </si>
  <si>
    <t>Irish Life</t>
  </si>
  <si>
    <t>This product has a contribution charge which is tiered (5%-3.5%)</t>
  </si>
  <si>
    <t>This product has a contribution charge which is tiered (3%-1.5%)</t>
  </si>
  <si>
    <t>This product has a contribution charge which is tiered (1.5%-0%)</t>
  </si>
  <si>
    <t>This product has a contribution charge which is tiered (3.5%-1.5%)</t>
  </si>
  <si>
    <t>Comment 1</t>
  </si>
  <si>
    <t>Comment 2</t>
  </si>
  <si>
    <t>Comment 3</t>
  </si>
  <si>
    <t>Comment 4</t>
  </si>
  <si>
    <t>Contribution Wording</t>
  </si>
  <si>
    <t>This product has a contribution charge which is tiered</t>
  </si>
  <si>
    <t>This product has a contribution charge which is tiered (2%-0.5%)</t>
  </si>
  <si>
    <t>This product has a contribution charge which is tiered (3.5%-2.0%)</t>
  </si>
  <si>
    <t>This product has a contribution charge which is tiered (3.0%-1.5%)</t>
  </si>
  <si>
    <t>This product has a contribution bonus which is tiered (0% to -1.5%)</t>
  </si>
  <si>
    <t>Davy</t>
  </si>
  <si>
    <t>Woring output in form</t>
  </si>
  <si>
    <t>Goodbody</t>
  </si>
  <si>
    <t>Newcourt</t>
  </si>
  <si>
    <t>Quest</t>
  </si>
  <si>
    <t>Company</t>
  </si>
  <si>
    <t>Product</t>
  </si>
  <si>
    <t>Zurich</t>
  </si>
  <si>
    <t>PRSA - Assessment of charges - check this corresponds with your expectations in terms of what will be charged</t>
  </si>
  <si>
    <t xml:space="preserve">PRSA - provide information where funds are to be invested. If investing in a lifestyle strategy you can input this. </t>
  </si>
  <si>
    <t>Fund Name (or lifestyle strategy name)</t>
  </si>
  <si>
    <t>Annual Management Charge of fund/strategy</t>
  </si>
  <si>
    <t>Confirm who is paying for this Cert (member, broker or another?)</t>
  </si>
  <si>
    <t>Aviva Option A</t>
  </si>
  <si>
    <t>Aviva Option B</t>
  </si>
  <si>
    <t>Aviva Option C</t>
  </si>
  <si>
    <t>Aviva Option D</t>
  </si>
  <si>
    <t>Aviva Option E</t>
  </si>
  <si>
    <t>Aviva Option F</t>
  </si>
  <si>
    <t>Aviva</t>
  </si>
  <si>
    <t>Trail commisssion payable</t>
  </si>
  <si>
    <t>The trail commission above will be added to this amc</t>
  </si>
  <si>
    <t>Chosen</t>
  </si>
  <si>
    <t>If insured death in service benefits provided under the DC Plan, will they continue under the PRSA</t>
  </si>
  <si>
    <t xml:space="preserve">Other useful information - eg if case is urgent and you want a particuarly quick turn around. </t>
  </si>
  <si>
    <t>This sheet must be completed in full to avoid delays in processing your case. We will aim for a 10 business day turn around once all information provided. If you need quicker please highlight urgency.</t>
  </si>
  <si>
    <t>The underlying fund charges are in addition. Please provide these below.</t>
  </si>
  <si>
    <t xml:space="preserve">This is the Davy fee based on the size of the transfer. Any charges applying to funds are in addition and should be outlined below. </t>
  </si>
  <si>
    <t>Option number</t>
  </si>
  <si>
    <t>Options</t>
  </si>
  <si>
    <t>SP</t>
  </si>
  <si>
    <t>PA name</t>
  </si>
  <si>
    <t>Aviva Option A1</t>
  </si>
  <si>
    <t>Aviva Option A2</t>
  </si>
  <si>
    <t>Aviva Option A3</t>
  </si>
  <si>
    <t>Aviva Option B1</t>
  </si>
  <si>
    <t>Aviva Option B2</t>
  </si>
  <si>
    <t>Aviva Option B3</t>
  </si>
  <si>
    <t>Aviva Option B4</t>
  </si>
  <si>
    <t>Aviva Option B5</t>
  </si>
  <si>
    <t>Aviva Option C1</t>
  </si>
  <si>
    <t>Aviva Option C2</t>
  </si>
  <si>
    <t>Aviva Option C3</t>
  </si>
  <si>
    <t>Aviva Option C4</t>
  </si>
  <si>
    <t>Aviva Option C5</t>
  </si>
  <si>
    <t>Aviva Option C6</t>
  </si>
  <si>
    <t>Aviva Option C7</t>
  </si>
  <si>
    <t>Aviva Option D1</t>
  </si>
  <si>
    <t>Aviva Option D2</t>
  </si>
  <si>
    <t>Aviva Option D3</t>
  </si>
  <si>
    <t>Aviva Option D4</t>
  </si>
  <si>
    <t>Aviva Option D5</t>
  </si>
  <si>
    <t>Aviva Option D6</t>
  </si>
  <si>
    <t>Aviva Option D7</t>
  </si>
  <si>
    <t>Aviva Option E1</t>
  </si>
  <si>
    <t>Aviva Option E2</t>
  </si>
  <si>
    <t>Aviva Option F1</t>
  </si>
  <si>
    <t>Aviva Option F2</t>
  </si>
  <si>
    <t>Aviva Option F3</t>
  </si>
  <si>
    <t>Aviva Option F4</t>
  </si>
  <si>
    <t>Aviva Option F5</t>
  </si>
  <si>
    <t>Aviva Option F6</t>
  </si>
  <si>
    <t>Goodbody PRSA - Direct</t>
  </si>
  <si>
    <t>Goodbody PRSA - Staff</t>
  </si>
  <si>
    <t>Goodbody PRSA - Staff Distribution</t>
  </si>
  <si>
    <t>This product has a contribution charge 2%</t>
  </si>
  <si>
    <t>This product has a contribution charge 2% for Direct Distribution and 1% for Broker Distribution</t>
  </si>
  <si>
    <t>This product has a contribution charge 5%</t>
  </si>
  <si>
    <t>This product has a contribution charge 1% for Direct Distribution and 0% for Broker Distribution</t>
  </si>
  <si>
    <t>This product has a contribution charge 4%</t>
  </si>
  <si>
    <t>Public Sector PRSA (APP/K/082/S)</t>
  </si>
  <si>
    <t>This product has a contribution charge 3% for Cornmarket Group Distribution and 5% for Financial Services Distribution</t>
  </si>
  <si>
    <t>This product has a contribution charge 0%</t>
  </si>
  <si>
    <t>This product has a contribution charge 1%</t>
  </si>
  <si>
    <t>This product has a contribution charge 3%</t>
  </si>
  <si>
    <t>AIB Invest PRSA (APP/K/126/S)</t>
  </si>
  <si>
    <t>This product has a contribution charge which is tiered (5%-2%)</t>
  </si>
  <si>
    <t>This product has a contribution charge which is tiered (3%-0%)</t>
  </si>
  <si>
    <t>, AMC reduces by .05% when fund reaches certain levels</t>
  </si>
  <si>
    <t>, The AMC is inclusive of any trail agreed with provider</t>
  </si>
  <si>
    <t>Cantor Non-Standard PRSA - Staff</t>
  </si>
  <si>
    <t>Cantor Non-Standard PRSA - Direct - Exec Only</t>
  </si>
  <si>
    <t>Cantor Non-Standard PRSA - Direct - Discretionary</t>
  </si>
  <si>
    <t>Cantor Non-Standard PRSA - Direct - Advisory</t>
  </si>
  <si>
    <t>Cantor Non-Standard PRSA - Intermediary - Exec Only</t>
  </si>
  <si>
    <t>Cantor Non-Standard PRSA - Intermediary - Advisory</t>
  </si>
  <si>
    <t>Cantor Non-Standard PRSA - Intermediary - Discretionary</t>
  </si>
  <si>
    <t>Cantor</t>
  </si>
  <si>
    <t>This product has a contribution charge of 3% for regular premium &gt;=€12,000 p.a. or single premium &gt;=€20,000 p.a. and 5% for regular premium &lt;€12,000 p.a. or single premium &lt;€20,000 p.a.</t>
  </si>
  <si>
    <t xml:space="preserve">This fee is based on the size of the fund. Any charges applying to the underlying funds are in addition and should be outlined below. </t>
  </si>
  <si>
    <t>This fee is based on the size of the fund. Any charges applying to the underlying funds are in addition and should be outlined below. Please also confirm below whether or not the additional investment services advisory fee applies.</t>
  </si>
  <si>
    <t xml:space="preserve">This fee is based on the size of the fund. Any charges applying to underlying funds are in addition and should be outlined below. </t>
  </si>
  <si>
    <t>Output commisison comment</t>
  </si>
  <si>
    <t>Pick PRSA Company first (Press F9 to refresh if necessary)</t>
  </si>
  <si>
    <t>Then pick the correct product please (Press F9 to refresh if necessary)</t>
  </si>
  <si>
    <t xml:space="preserve">If the member is still in service associated with the DC Scheme, please complete the following </t>
  </si>
  <si>
    <t>Is the above investment strategy a life-style strategy? (If Yes pleasse provide details separately or below)</t>
  </si>
  <si>
    <t>This is automatically generated - ensure you agree with our analysis</t>
  </si>
  <si>
    <t>Intentionally blank</t>
  </si>
  <si>
    <t>Check list</t>
  </si>
  <si>
    <t>Complete fund range for DC scheme if available</t>
  </si>
  <si>
    <t>LCP Onboarding (only necessary if not previously completed)</t>
  </si>
  <si>
    <t>DC Booklet if available</t>
  </si>
  <si>
    <t>Fully completed template above</t>
  </si>
  <si>
    <r>
      <rPr>
        <b/>
        <sz val="12"/>
        <color indexed="10"/>
        <rFont val="Calibri"/>
        <family val="2"/>
      </rPr>
      <t>Other Useful Information</t>
    </r>
    <r>
      <rPr>
        <b/>
        <sz val="12"/>
        <color indexed="8"/>
        <rFont val="Calibri"/>
        <family val="2"/>
      </rPr>
      <t xml:space="preserve">
Please email rebecca.ffrenchocarroll@lcp.com for further information.</t>
    </r>
  </si>
  <si>
    <t>Copy of recent benefit statement, leaving service options or equivalent</t>
  </si>
  <si>
    <t>Include general description as to why a transfer is being proposed to a PRSA.</t>
  </si>
  <si>
    <t>Is Trustee consent required to take early retirement?</t>
  </si>
  <si>
    <t>Is employer consent required to take early retirement?</t>
  </si>
  <si>
    <t>Contribution Charges/Allocation Rates if contributions were being paid under the DC Plan</t>
  </si>
  <si>
    <t>Last Updated 3 September 2024</t>
  </si>
  <si>
    <t>Does the member have a PFT (Personal Fund Threshold) or used up some of their SFT?</t>
  </si>
  <si>
    <t>If member has not left service are the Trustees willing to approve a transfer?</t>
  </si>
  <si>
    <t>Death Benefits before retirement in DC Plan (eg 4 x Salary plus fund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</si>
</sst>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quot;€&quot;#,##0"/>
    <numFmt numFmtId="166" formatCode="[$-F800]dddd\,\ mmmm\ dd\,\ yyyy"/>
    <numFmt numFmtId="167" formatCode="0.0%"/>
    <numFmt numFmtId="168" formatCode="0.0000%"/>
    <numFmt numFmtId="169" formatCode="0.000000%"/>
  </numFmts>
  <fonts count="20" x14ac:knownFonts="1">
    <font>
      <sz val="11"/>
      <color theme="1"/>
      <name val="Calibri"/>
      <family val="2"/>
      <scheme val="minor"/>
    </font>
    <font>
      <b/>
      <sz val="12"/>
      <color indexed="8"/>
      <name val="Calibri"/>
      <family val="2"/>
    </font>
    <font>
      <b/>
      <sz val="12"/>
      <color indexed="10"/>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i/>
      <u/>
      <sz val="16"/>
      <color theme="1"/>
      <name val="Calibri"/>
      <family val="2"/>
      <scheme val="minor"/>
    </font>
    <font>
      <b/>
      <sz val="11"/>
      <color rgb="FFFF0000"/>
      <name val="Calibri"/>
      <family val="2"/>
      <scheme val="minor"/>
    </font>
    <font>
      <b/>
      <sz val="12"/>
      <color theme="1"/>
      <name val="Calibri"/>
      <family val="2"/>
    </font>
    <font>
      <sz val="10"/>
      <color rgb="FF006100"/>
      <name val="Arial"/>
      <family val="2"/>
    </font>
    <font>
      <sz val="10"/>
      <color rgb="FF9C0006"/>
      <name val="Arial"/>
      <family val="2"/>
    </font>
    <font>
      <sz val="10"/>
      <color rgb="FF9C5700"/>
      <name val="Arial"/>
      <family val="2"/>
    </font>
    <font>
      <sz val="10"/>
      <name val="Arial"/>
      <family val="2"/>
    </font>
    <font>
      <sz val="10"/>
      <name val="Arial"/>
      <family val="2"/>
    </font>
    <font>
      <b/>
      <sz val="10"/>
      <name val="Arial"/>
      <family val="2"/>
    </font>
    <font>
      <b/>
      <sz val="10"/>
      <color rgb="FF006100"/>
      <name val="Arial"/>
      <family val="2"/>
    </font>
    <font>
      <sz val="14"/>
      <color theme="1"/>
      <name val="Calibri"/>
      <family val="2"/>
      <scheme val="minor"/>
    </font>
    <font>
      <sz val="10"/>
      <color theme="1"/>
      <name val="Calibri"/>
      <family val="2"/>
      <scheme val="minor"/>
    </font>
    <font>
      <sz val="11"/>
      <name val="Calibri"/>
      <family val="2"/>
      <scheme val="minor"/>
    </font>
  </fonts>
  <fills count="9">
    <fill>
      <patternFill patternType="none"/>
    </fill>
    <fill>
      <patternFill patternType="gray125"/>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99"/>
        <bgColor indexed="64"/>
      </patternFill>
    </fill>
    <fill>
      <patternFill patternType="solid">
        <fgColor theme="7" tint="0.59999389629810485"/>
        <bgColor indexed="64"/>
      </patternFill>
    </fill>
    <fill>
      <patternFill patternType="solid">
        <fgColor theme="5" tint="0.59999389629810485"/>
        <bgColor indexed="64"/>
      </patternFill>
    </fill>
  </fills>
  <borders count="5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s>
  <cellStyleXfs count="8">
    <xf numFmtId="0" fontId="0" fillId="0" borderId="0"/>
    <xf numFmtId="43" fontId="3" fillId="0" borderId="0" applyFont="0" applyFill="0" applyBorder="0" applyAlignment="0" applyProtection="0"/>
    <xf numFmtId="9" fontId="3" fillId="0" borderId="0" applyFon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0" borderId="0"/>
    <xf numFmtId="43" fontId="14" fillId="0" borderId="0" applyFont="0" applyFill="0" applyBorder="0" applyAlignment="0" applyProtection="0"/>
  </cellStyleXfs>
  <cellXfs count="270">
    <xf numFmtId="0" fontId="0" fillId="0" borderId="0" xfId="0"/>
    <xf numFmtId="0" fontId="4" fillId="0" borderId="17" xfId="0" applyFont="1" applyBorder="1"/>
    <xf numFmtId="0" fontId="11" fillId="4" borderId="19" xfId="4" applyBorder="1"/>
    <xf numFmtId="0" fontId="11" fillId="4" borderId="34" xfId="4" applyBorder="1"/>
    <xf numFmtId="0" fontId="11" fillId="4" borderId="22" xfId="4" applyBorder="1"/>
    <xf numFmtId="0" fontId="13" fillId="0" borderId="0" xfId="6"/>
    <xf numFmtId="0" fontId="12" fillId="5" borderId="33" xfId="5" applyBorder="1"/>
    <xf numFmtId="43" fontId="0" fillId="0" borderId="0" xfId="7" applyFont="1"/>
    <xf numFmtId="0" fontId="11" fillId="4" borderId="35" xfId="4" applyBorder="1"/>
    <xf numFmtId="0" fontId="11" fillId="4" borderId="36" xfId="4" applyBorder="1"/>
    <xf numFmtId="0" fontId="15" fillId="0" borderId="0" xfId="6" applyFont="1"/>
    <xf numFmtId="43" fontId="15" fillId="0" borderId="0" xfId="7" applyFont="1"/>
    <xf numFmtId="0" fontId="11" fillId="4" borderId="37" xfId="4" applyBorder="1"/>
    <xf numFmtId="0" fontId="14" fillId="0" borderId="0" xfId="6" applyFont="1"/>
    <xf numFmtId="10" fontId="14" fillId="0" borderId="0" xfId="2" applyNumberFormat="1" applyFont="1"/>
    <xf numFmtId="10" fontId="0" fillId="0" borderId="0" xfId="2" applyNumberFormat="1" applyFont="1"/>
    <xf numFmtId="10" fontId="14" fillId="0" borderId="17" xfId="2" applyNumberFormat="1" applyFont="1" applyFill="1" applyBorder="1" applyAlignment="1">
      <alignment horizontal="center"/>
    </xf>
    <xf numFmtId="10" fontId="0" fillId="0" borderId="17" xfId="2" applyNumberFormat="1" applyFont="1" applyBorder="1"/>
    <xf numFmtId="10" fontId="0" fillId="0" borderId="17" xfId="0" applyNumberFormat="1" applyBorder="1"/>
    <xf numFmtId="164" fontId="0" fillId="0" borderId="28" xfId="1" applyNumberFormat="1" applyFont="1" applyBorder="1"/>
    <xf numFmtId="10" fontId="14" fillId="0" borderId="1" xfId="2" applyNumberFormat="1" applyFont="1" applyFill="1" applyBorder="1" applyAlignment="1">
      <alignment horizontal="center"/>
    </xf>
    <xf numFmtId="10" fontId="14" fillId="0" borderId="2" xfId="2" applyNumberFormat="1" applyFont="1" applyFill="1" applyBorder="1" applyAlignment="1">
      <alignment horizontal="center"/>
    </xf>
    <xf numFmtId="10" fontId="14" fillId="0" borderId="18" xfId="2" applyNumberFormat="1" applyFont="1" applyFill="1" applyBorder="1" applyAlignment="1">
      <alignment horizontal="center"/>
    </xf>
    <xf numFmtId="0" fontId="10" fillId="3" borderId="0" xfId="3"/>
    <xf numFmtId="0" fontId="12" fillId="5" borderId="0" xfId="5"/>
    <xf numFmtId="0" fontId="11" fillId="4" borderId="17" xfId="4" applyBorder="1"/>
    <xf numFmtId="0" fontId="15" fillId="0" borderId="0" xfId="6" applyFont="1" applyAlignment="1">
      <alignment wrapText="1"/>
    </xf>
    <xf numFmtId="0" fontId="13" fillId="0" borderId="19" xfId="6" applyBorder="1"/>
    <xf numFmtId="0" fontId="13" fillId="0" borderId="34" xfId="6" applyBorder="1"/>
    <xf numFmtId="0" fontId="4" fillId="0" borderId="0" xfId="0" applyFont="1"/>
    <xf numFmtId="10" fontId="4" fillId="0" borderId="0" xfId="2" applyNumberFormat="1" applyFont="1"/>
    <xf numFmtId="0" fontId="11" fillId="4" borderId="0" xfId="4"/>
    <xf numFmtId="0" fontId="0" fillId="0" borderId="38" xfId="0" applyBorder="1"/>
    <xf numFmtId="10" fontId="14" fillId="0" borderId="38" xfId="2" applyNumberFormat="1" applyFont="1" applyBorder="1"/>
    <xf numFmtId="10" fontId="0" fillId="0" borderId="38" xfId="2" applyNumberFormat="1" applyFont="1" applyBorder="1"/>
    <xf numFmtId="167" fontId="0" fillId="0" borderId="17" xfId="2" applyNumberFormat="1" applyFont="1" applyBorder="1"/>
    <xf numFmtId="167" fontId="0" fillId="0" borderId="0" xfId="2" applyNumberFormat="1" applyFont="1"/>
    <xf numFmtId="0" fontId="0" fillId="0" borderId="17" xfId="0" applyBorder="1"/>
    <xf numFmtId="10" fontId="14" fillId="0" borderId="17" xfId="0" applyNumberFormat="1" applyFont="1" applyBorder="1" applyAlignment="1">
      <alignment wrapText="1"/>
    </xf>
    <xf numFmtId="0" fontId="0" fillId="0" borderId="24" xfId="0" applyBorder="1"/>
    <xf numFmtId="167" fontId="0" fillId="0" borderId="24" xfId="2" applyNumberFormat="1" applyFont="1" applyBorder="1"/>
    <xf numFmtId="10" fontId="0" fillId="0" borderId="0" xfId="2" applyNumberFormat="1" applyFont="1" applyBorder="1"/>
    <xf numFmtId="167" fontId="0" fillId="0" borderId="0" xfId="2" applyNumberFormat="1" applyFont="1" applyBorder="1"/>
    <xf numFmtId="167" fontId="4" fillId="0" borderId="17" xfId="2" applyNumberFormat="1" applyFont="1" applyBorder="1"/>
    <xf numFmtId="9" fontId="14" fillId="0" borderId="17" xfId="0" applyNumberFormat="1" applyFont="1" applyBorder="1" applyAlignment="1">
      <alignment wrapText="1"/>
    </xf>
    <xf numFmtId="0" fontId="10" fillId="3" borderId="17" xfId="3" applyBorder="1"/>
    <xf numFmtId="0" fontId="14" fillId="0" borderId="17" xfId="6" applyFont="1" applyBorder="1"/>
    <xf numFmtId="0" fontId="13" fillId="0" borderId="17" xfId="6" applyBorder="1"/>
    <xf numFmtId="43" fontId="10" fillId="3" borderId="35" xfId="7" applyFont="1" applyFill="1" applyBorder="1"/>
    <xf numFmtId="43" fontId="0" fillId="8" borderId="17" xfId="7" applyFont="1" applyFill="1" applyBorder="1"/>
    <xf numFmtId="43" fontId="13" fillId="0" borderId="17" xfId="1" applyFont="1" applyBorder="1"/>
    <xf numFmtId="10" fontId="0" fillId="0" borderId="1" xfId="2" applyNumberFormat="1" applyFont="1" applyBorder="1" applyAlignment="1">
      <alignment horizontal="center"/>
    </xf>
    <xf numFmtId="10" fontId="0" fillId="0" borderId="17" xfId="2" applyNumberFormat="1" applyFont="1" applyBorder="1" applyAlignment="1">
      <alignment horizontal="center"/>
    </xf>
    <xf numFmtId="10" fontId="0" fillId="0" borderId="2" xfId="2" applyNumberFormat="1" applyFont="1" applyBorder="1" applyAlignment="1">
      <alignment horizontal="center"/>
    </xf>
    <xf numFmtId="10" fontId="14" fillId="0" borderId="17" xfId="2" applyNumberFormat="1" applyFont="1" applyBorder="1" applyAlignment="1">
      <alignment horizontal="center"/>
    </xf>
    <xf numFmtId="10" fontId="14" fillId="0" borderId="2" xfId="2" applyNumberFormat="1" applyFont="1" applyBorder="1" applyAlignment="1">
      <alignment horizontal="center"/>
    </xf>
    <xf numFmtId="10" fontId="14" fillId="0" borderId="1" xfId="2" applyNumberFormat="1" applyFont="1" applyBorder="1" applyAlignment="1">
      <alignment horizontal="center"/>
    </xf>
    <xf numFmtId="10" fontId="14" fillId="0" borderId="3" xfId="2" applyNumberFormat="1" applyFont="1" applyBorder="1" applyAlignment="1">
      <alignment horizontal="center"/>
    </xf>
    <xf numFmtId="10" fontId="14" fillId="0" borderId="18" xfId="2" applyNumberFormat="1" applyFont="1" applyBorder="1" applyAlignment="1">
      <alignment horizontal="center"/>
    </xf>
    <xf numFmtId="10" fontId="14" fillId="0" borderId="4" xfId="2" applyNumberFormat="1" applyFont="1" applyBorder="1" applyAlignment="1">
      <alignment horizontal="center"/>
    </xf>
    <xf numFmtId="164" fontId="0" fillId="0" borderId="27" xfId="1" applyNumberFormat="1" applyFont="1" applyBorder="1"/>
    <xf numFmtId="164" fontId="0" fillId="0" borderId="11" xfId="1" applyNumberFormat="1" applyFont="1" applyBorder="1"/>
    <xf numFmtId="0" fontId="10" fillId="0" borderId="0" xfId="3" applyFill="1"/>
    <xf numFmtId="10" fontId="10" fillId="0" borderId="0" xfId="3" applyNumberFormat="1" applyFill="1"/>
    <xf numFmtId="0" fontId="10" fillId="0" borderId="0" xfId="3" applyFill="1" applyBorder="1"/>
    <xf numFmtId="0" fontId="10" fillId="3" borderId="9" xfId="3" applyBorder="1"/>
    <xf numFmtId="10" fontId="10" fillId="3" borderId="9" xfId="3" applyNumberFormat="1" applyBorder="1"/>
    <xf numFmtId="0" fontId="16" fillId="3" borderId="20" xfId="3" applyFont="1" applyBorder="1"/>
    <xf numFmtId="167" fontId="10" fillId="3" borderId="9" xfId="3" applyNumberFormat="1" applyBorder="1"/>
    <xf numFmtId="10" fontId="12" fillId="5" borderId="17" xfId="5" applyNumberFormat="1" applyBorder="1"/>
    <xf numFmtId="10" fontId="0" fillId="7" borderId="17" xfId="2" applyNumberFormat="1" applyFont="1" applyFill="1" applyBorder="1"/>
    <xf numFmtId="10" fontId="0" fillId="8" borderId="17" xfId="2" applyNumberFormat="1" applyFont="1" applyFill="1" applyBorder="1"/>
    <xf numFmtId="0" fontId="4" fillId="0" borderId="38" xfId="0" applyFont="1" applyBorder="1"/>
    <xf numFmtId="0" fontId="16" fillId="0" borderId="0" xfId="3" applyFont="1" applyFill="1"/>
    <xf numFmtId="9" fontId="0" fillId="6" borderId="17" xfId="0" applyNumberFormat="1" applyFill="1" applyBorder="1"/>
    <xf numFmtId="10" fontId="0" fillId="6" borderId="17" xfId="0" applyNumberFormat="1" applyFill="1" applyBorder="1"/>
    <xf numFmtId="0" fontId="0" fillId="6" borderId="17" xfId="0" applyFill="1" applyBorder="1"/>
    <xf numFmtId="0" fontId="12" fillId="5" borderId="17" xfId="5" applyBorder="1"/>
    <xf numFmtId="10" fontId="11" fillId="4" borderId="17" xfId="4" applyNumberFormat="1" applyBorder="1"/>
    <xf numFmtId="10" fontId="0" fillId="0" borderId="17" xfId="2" applyNumberFormat="1" applyFont="1" applyFill="1" applyBorder="1"/>
    <xf numFmtId="0" fontId="7" fillId="0" borderId="0" xfId="0" applyFont="1" applyAlignment="1">
      <alignment vertical="top"/>
    </xf>
    <xf numFmtId="0" fontId="6" fillId="2" borderId="20" xfId="0" applyFont="1" applyFill="1" applyBorder="1"/>
    <xf numFmtId="0" fontId="0" fillId="2" borderId="9" xfId="0" applyFill="1" applyBorder="1"/>
    <xf numFmtId="0" fontId="0" fillId="2" borderId="10" xfId="0" applyFill="1" applyBorder="1"/>
    <xf numFmtId="0" fontId="8" fillId="0" borderId="0" xfId="0" applyFont="1"/>
    <xf numFmtId="0" fontId="5" fillId="0" borderId="0" xfId="0" applyFont="1"/>
    <xf numFmtId="0" fontId="6" fillId="2" borderId="21" xfId="0" applyFont="1" applyFill="1" applyBorder="1"/>
    <xf numFmtId="0" fontId="0" fillId="2" borderId="5" xfId="0" applyFill="1" applyBorder="1"/>
    <xf numFmtId="0" fontId="0" fillId="0" borderId="13" xfId="0" applyBorder="1"/>
    <xf numFmtId="14" fontId="0" fillId="0" borderId="15" xfId="0" applyNumberFormat="1" applyBorder="1" applyAlignment="1">
      <alignment horizontal="right"/>
    </xf>
    <xf numFmtId="0" fontId="0" fillId="0" borderId="15" xfId="0" applyBorder="1" applyAlignment="1">
      <alignment horizontal="right"/>
    </xf>
    <xf numFmtId="0" fontId="0" fillId="0" borderId="31" xfId="0" applyBorder="1"/>
    <xf numFmtId="164" fontId="3" fillId="0" borderId="32" xfId="1" applyNumberFormat="1" applyFont="1" applyBorder="1" applyAlignment="1" applyProtection="1">
      <alignment horizontal="right"/>
    </xf>
    <xf numFmtId="0" fontId="0" fillId="0" borderId="27" xfId="0" applyBorder="1"/>
    <xf numFmtId="0" fontId="0" fillId="0" borderId="1" xfId="0" applyBorder="1"/>
    <xf numFmtId="0" fontId="5" fillId="0" borderId="0" xfId="0" applyFont="1" applyAlignment="1">
      <alignment horizontal="left" wrapText="1"/>
    </xf>
    <xf numFmtId="0" fontId="0" fillId="0" borderId="0" xfId="0" applyAlignment="1">
      <alignment wrapText="1"/>
    </xf>
    <xf numFmtId="165" fontId="0" fillId="0" borderId="0" xfId="0" applyNumberFormat="1" applyAlignment="1">
      <alignment horizontal="center"/>
    </xf>
    <xf numFmtId="0" fontId="0" fillId="0" borderId="0" xfId="0" applyAlignment="1">
      <alignment horizontal="center"/>
    </xf>
    <xf numFmtId="0" fontId="4" fillId="2" borderId="9" xfId="0" applyFont="1" applyFill="1" applyBorder="1"/>
    <xf numFmtId="0" fontId="4" fillId="2" borderId="11" xfId="0" applyFont="1" applyFill="1" applyBorder="1" applyAlignment="1">
      <alignment horizontal="center"/>
    </xf>
    <xf numFmtId="0" fontId="4" fillId="0" borderId="6" xfId="0" applyFont="1" applyBorder="1" applyAlignment="1">
      <alignment wrapText="1"/>
    </xf>
    <xf numFmtId="0" fontId="4" fillId="0" borderId="8" xfId="0" applyFont="1" applyBorder="1" applyAlignment="1">
      <alignment wrapText="1"/>
    </xf>
    <xf numFmtId="0" fontId="0" fillId="0" borderId="26" xfId="0" applyBorder="1"/>
    <xf numFmtId="0" fontId="0" fillId="0" borderId="35" xfId="0" applyBorder="1"/>
    <xf numFmtId="0" fontId="13" fillId="0" borderId="36" xfId="6" applyBorder="1"/>
    <xf numFmtId="0" fontId="13" fillId="0" borderId="42" xfId="6" applyBorder="1"/>
    <xf numFmtId="168" fontId="0" fillId="0" borderId="0" xfId="2" applyNumberFormat="1" applyFont="1"/>
    <xf numFmtId="169" fontId="0" fillId="0" borderId="0" xfId="2" applyNumberFormat="1" applyFont="1"/>
    <xf numFmtId="169" fontId="0" fillId="0" borderId="0" xfId="0" applyNumberFormat="1"/>
    <xf numFmtId="0" fontId="10" fillId="0" borderId="17" xfId="3" applyFill="1" applyBorder="1"/>
    <xf numFmtId="43" fontId="0" fillId="0" borderId="17" xfId="1" applyFont="1" applyBorder="1"/>
    <xf numFmtId="164" fontId="0" fillId="0" borderId="17" xfId="1" applyNumberFormat="1" applyFont="1" applyBorder="1"/>
    <xf numFmtId="10" fontId="0" fillId="0" borderId="17" xfId="0" applyNumberFormat="1" applyBorder="1" applyAlignment="1">
      <alignment horizontal="center"/>
    </xf>
    <xf numFmtId="0" fontId="0" fillId="0" borderId="20" xfId="0" applyBorder="1"/>
    <xf numFmtId="0" fontId="0" fillId="0" borderId="9" xfId="0" applyBorder="1"/>
    <xf numFmtId="0" fontId="11" fillId="4" borderId="10" xfId="4" applyBorder="1"/>
    <xf numFmtId="43" fontId="13" fillId="0" borderId="22" xfId="1" applyFont="1" applyBorder="1"/>
    <xf numFmtId="0" fontId="4" fillId="0" borderId="33" xfId="0" applyFont="1" applyBorder="1"/>
    <xf numFmtId="164" fontId="0" fillId="0" borderId="39" xfId="1" applyNumberFormat="1" applyFont="1" applyBorder="1"/>
    <xf numFmtId="164" fontId="0" fillId="0" borderId="43" xfId="1" applyNumberFormat="1" applyFont="1" applyBorder="1"/>
    <xf numFmtId="10" fontId="0" fillId="0" borderId="24" xfId="2" applyNumberFormat="1" applyFont="1" applyBorder="1" applyAlignment="1">
      <alignment horizontal="center"/>
    </xf>
    <xf numFmtId="10" fontId="0" fillId="0" borderId="3" xfId="2" applyNumberFormat="1" applyFont="1" applyBorder="1" applyAlignment="1">
      <alignment horizontal="center"/>
    </xf>
    <xf numFmtId="10" fontId="0" fillId="0" borderId="18" xfId="2" applyNumberFormat="1" applyFont="1" applyBorder="1" applyAlignment="1">
      <alignment horizontal="center"/>
    </xf>
    <xf numFmtId="10" fontId="0" fillId="0" borderId="4" xfId="2" applyNumberFormat="1" applyFont="1" applyBorder="1" applyAlignment="1">
      <alignment horizontal="center"/>
    </xf>
    <xf numFmtId="0" fontId="6" fillId="2" borderId="30" xfId="0" applyFont="1" applyFill="1" applyBorder="1"/>
    <xf numFmtId="0" fontId="0" fillId="2" borderId="7" xfId="0" applyFill="1" applyBorder="1"/>
    <xf numFmtId="0" fontId="0" fillId="2" borderId="0" xfId="0" applyFill="1"/>
    <xf numFmtId="0" fontId="6" fillId="2" borderId="37" xfId="0" applyFont="1" applyFill="1" applyBorder="1"/>
    <xf numFmtId="165" fontId="0" fillId="0" borderId="47" xfId="0" applyNumberFormat="1" applyBorder="1" applyAlignment="1">
      <alignment horizontal="center" wrapText="1"/>
    </xf>
    <xf numFmtId="0" fontId="0" fillId="0" borderId="3" xfId="0" applyBorder="1"/>
    <xf numFmtId="0" fontId="0" fillId="0" borderId="3" xfId="0" applyBorder="1" applyAlignment="1">
      <alignment horizontal="left" wrapText="1"/>
    </xf>
    <xf numFmtId="0" fontId="4" fillId="0" borderId="17" xfId="0" applyFont="1" applyBorder="1" applyAlignment="1">
      <alignment horizontal="center"/>
    </xf>
    <xf numFmtId="0" fontId="17" fillId="0" borderId="17" xfId="0" applyFont="1" applyBorder="1" applyAlignment="1">
      <alignment horizontal="center"/>
    </xf>
    <xf numFmtId="43" fontId="18" fillId="0" borderId="17" xfId="1" applyFont="1" applyBorder="1" applyAlignment="1" applyProtection="1">
      <alignment wrapText="1"/>
      <protection locked="0"/>
    </xf>
    <xf numFmtId="0" fontId="19" fillId="0" borderId="0" xfId="0" applyFont="1"/>
    <xf numFmtId="0" fontId="5" fillId="0" borderId="20" xfId="0" applyFont="1" applyBorder="1"/>
    <xf numFmtId="0" fontId="0" fillId="0" borderId="20" xfId="0" applyBorder="1" applyAlignment="1">
      <alignment wrapText="1"/>
    </xf>
    <xf numFmtId="0" fontId="0" fillId="0" borderId="48" xfId="0" applyBorder="1"/>
    <xf numFmtId="0" fontId="0" fillId="0" borderId="49" xfId="0" applyBorder="1" applyAlignment="1">
      <alignment horizontal="right"/>
    </xf>
    <xf numFmtId="10" fontId="3" fillId="6" borderId="18" xfId="2" applyNumberFormat="1" applyFont="1"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17" xfId="0" applyFill="1" applyBorder="1" applyAlignment="1" applyProtection="1">
      <alignment wrapText="1"/>
      <protection locked="0"/>
    </xf>
    <xf numFmtId="165" fontId="0" fillId="6" borderId="17" xfId="0" applyNumberFormat="1" applyFill="1" applyBorder="1" applyAlignment="1" applyProtection="1">
      <alignment horizontal="center"/>
      <protection locked="0"/>
    </xf>
    <xf numFmtId="0" fontId="0" fillId="6" borderId="1" xfId="0" applyFill="1" applyBorder="1" applyAlignment="1" applyProtection="1">
      <alignment wrapText="1"/>
      <protection locked="0"/>
    </xf>
    <xf numFmtId="10" fontId="3" fillId="6" borderId="17" xfId="2" applyNumberFormat="1" applyFont="1" applyFill="1" applyBorder="1" applyAlignment="1" applyProtection="1">
      <alignment horizontal="center"/>
      <protection locked="0"/>
    </xf>
    <xf numFmtId="0" fontId="0" fillId="6" borderId="3" xfId="0" applyFill="1" applyBorder="1" applyAlignment="1" applyProtection="1">
      <alignment wrapText="1"/>
      <protection locked="0"/>
    </xf>
    <xf numFmtId="0" fontId="0" fillId="6" borderId="11"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4" fillId="2" borderId="19" xfId="0" applyFont="1" applyFill="1" applyBorder="1"/>
    <xf numFmtId="0" fontId="4" fillId="2" borderId="34" xfId="0" applyFont="1" applyFill="1" applyBorder="1"/>
    <xf numFmtId="0" fontId="4" fillId="2" borderId="22" xfId="0" applyFont="1" applyFill="1" applyBorder="1" applyAlignment="1">
      <alignment horizontal="center"/>
    </xf>
    <xf numFmtId="0" fontId="0" fillId="6" borderId="17" xfId="0" applyFill="1" applyBorder="1" applyProtection="1">
      <protection locked="0"/>
    </xf>
    <xf numFmtId="0" fontId="0" fillId="0" borderId="37" xfId="0" applyBorder="1" applyAlignment="1">
      <alignment horizontal="left"/>
    </xf>
    <xf numFmtId="0" fontId="0" fillId="0" borderId="0" xfId="0" applyAlignment="1">
      <alignment horizontal="left"/>
    </xf>
    <xf numFmtId="165" fontId="0" fillId="0" borderId="20" xfId="0" applyNumberFormat="1" applyBorder="1" applyAlignment="1">
      <alignment horizontal="center"/>
    </xf>
    <xf numFmtId="0" fontId="4" fillId="0" borderId="19" xfId="0" applyFont="1" applyBorder="1"/>
    <xf numFmtId="0" fontId="0" fillId="0" borderId="27" xfId="0" applyBorder="1" applyAlignment="1">
      <alignment wrapText="1"/>
    </xf>
    <xf numFmtId="0" fontId="0" fillId="0" borderId="28" xfId="0" applyBorder="1" applyAlignment="1">
      <alignment horizontal="center" wrapText="1"/>
    </xf>
    <xf numFmtId="165" fontId="0" fillId="6" borderId="18" xfId="0" applyNumberFormat="1" applyFill="1" applyBorder="1" applyAlignment="1" applyProtection="1">
      <alignment horizontal="center"/>
      <protection locked="0"/>
    </xf>
    <xf numFmtId="0" fontId="0" fillId="6" borderId="27" xfId="0" applyFill="1" applyBorder="1" applyAlignment="1" applyProtection="1">
      <alignment horizontal="center" wrapText="1"/>
      <protection locked="0"/>
    </xf>
    <xf numFmtId="0" fontId="0" fillId="6" borderId="28" xfId="0" applyFill="1" applyBorder="1" applyAlignment="1" applyProtection="1">
      <alignment horizontal="center" wrapText="1"/>
      <protection locked="0"/>
    </xf>
    <xf numFmtId="0" fontId="0" fillId="6" borderId="11" xfId="0" applyFill="1" applyBorder="1" applyAlignment="1" applyProtection="1">
      <alignment horizontal="center" wrapText="1"/>
      <protection locked="0"/>
    </xf>
    <xf numFmtId="0" fontId="0" fillId="6" borderId="3" xfId="0" applyFill="1" applyBorder="1" applyAlignment="1" applyProtection="1">
      <alignment horizontal="center" wrapText="1"/>
      <protection locked="0"/>
    </xf>
    <xf numFmtId="0" fontId="0" fillId="6" borderId="18" xfId="0" applyFill="1" applyBorder="1" applyAlignment="1" applyProtection="1">
      <alignment horizontal="center" wrapText="1"/>
      <protection locked="0"/>
    </xf>
    <xf numFmtId="0" fontId="0" fillId="6" borderId="4" xfId="0" applyFill="1" applyBorder="1" applyAlignment="1" applyProtection="1">
      <alignment horizontal="center" wrapText="1"/>
      <protection locked="0"/>
    </xf>
    <xf numFmtId="0" fontId="5" fillId="0" borderId="20" xfId="0" applyFont="1" applyBorder="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165" fontId="0" fillId="0" borderId="45" xfId="0" applyNumberFormat="1" applyBorder="1" applyAlignment="1">
      <alignment horizontal="center" wrapText="1"/>
    </xf>
    <xf numFmtId="165" fontId="0" fillId="0" borderId="46" xfId="0" applyNumberFormat="1" applyBorder="1" applyAlignment="1">
      <alignment horizontal="center" wrapText="1"/>
    </xf>
    <xf numFmtId="0" fontId="0" fillId="0" borderId="14" xfId="0" applyBorder="1" applyAlignment="1">
      <alignment horizontal="left"/>
    </xf>
    <xf numFmtId="0" fontId="0" fillId="0" borderId="16" xfId="0" applyBorder="1" applyAlignment="1">
      <alignment horizontal="left"/>
    </xf>
    <xf numFmtId="10" fontId="0" fillId="6" borderId="17" xfId="2" applyNumberFormat="1" applyFont="1" applyFill="1" applyBorder="1" applyAlignment="1" applyProtection="1">
      <alignment horizontal="center" wrapText="1"/>
      <protection locked="0"/>
    </xf>
    <xf numFmtId="10" fontId="0" fillId="6" borderId="2" xfId="2" applyNumberFormat="1" applyFont="1" applyFill="1" applyBorder="1" applyAlignment="1" applyProtection="1">
      <alignment horizontal="center" wrapText="1"/>
      <protection locked="0"/>
    </xf>
    <xf numFmtId="0" fontId="0" fillId="6" borderId="24" xfId="0" applyFill="1" applyBorder="1" applyAlignment="1" applyProtection="1">
      <alignment horizontal="center"/>
      <protection locked="0"/>
    </xf>
    <xf numFmtId="0" fontId="0" fillId="6" borderId="25" xfId="0" applyFill="1" applyBorder="1" applyAlignment="1" applyProtection="1">
      <alignment horizontal="center"/>
      <protection locked="0"/>
    </xf>
    <xf numFmtId="166" fontId="0" fillId="6" borderId="17" xfId="0" applyNumberFormat="1" applyFill="1" applyBorder="1" applyAlignment="1" applyProtection="1">
      <alignment horizontal="center"/>
      <protection locked="0"/>
    </xf>
    <xf numFmtId="166" fontId="0" fillId="6" borderId="2" xfId="0" applyNumberFormat="1" applyFill="1" applyBorder="1" applyAlignment="1" applyProtection="1">
      <alignment horizontal="center"/>
      <protection locked="0"/>
    </xf>
    <xf numFmtId="0" fontId="0" fillId="6" borderId="17" xfId="0" applyFill="1" applyBorder="1" applyAlignment="1" applyProtection="1">
      <alignment horizontal="center"/>
      <protection locked="0"/>
    </xf>
    <xf numFmtId="0" fontId="0" fillId="6" borderId="2" xfId="0" applyFill="1" applyBorder="1" applyAlignment="1" applyProtection="1">
      <alignment horizontal="center"/>
      <protection locked="0"/>
    </xf>
    <xf numFmtId="165" fontId="3" fillId="6" borderId="17" xfId="1" applyNumberFormat="1" applyFont="1" applyFill="1" applyBorder="1" applyAlignment="1" applyProtection="1">
      <alignment horizontal="center"/>
      <protection locked="0"/>
    </xf>
    <xf numFmtId="165" fontId="3" fillId="6" borderId="2" xfId="1" applyNumberFormat="1" applyFont="1" applyFill="1" applyBorder="1" applyAlignment="1" applyProtection="1">
      <alignment horizontal="center"/>
      <protection locked="0"/>
    </xf>
    <xf numFmtId="0" fontId="4" fillId="2" borderId="27" xfId="0" applyFont="1" applyFill="1" applyBorder="1" applyAlignment="1">
      <alignment horizontal="center"/>
    </xf>
    <xf numFmtId="0" fontId="4" fillId="2" borderId="28" xfId="0" applyFont="1" applyFill="1" applyBorder="1" applyAlignment="1">
      <alignment horizontal="center"/>
    </xf>
    <xf numFmtId="0" fontId="0" fillId="0" borderId="17" xfId="0" applyBorder="1" applyAlignment="1">
      <alignment horizontal="center"/>
    </xf>
    <xf numFmtId="0" fontId="0" fillId="0" borderId="17" xfId="0" applyBorder="1" applyAlignment="1">
      <alignment horizontal="center" wrapText="1"/>
    </xf>
    <xf numFmtId="0" fontId="0" fillId="0" borderId="1" xfId="0" applyBorder="1" applyAlignment="1">
      <alignment horizontal="left"/>
    </xf>
    <xf numFmtId="0" fontId="0" fillId="0" borderId="17" xfId="0" applyBorder="1" applyAlignment="1">
      <alignment horizontal="left"/>
    </xf>
    <xf numFmtId="0" fontId="0" fillId="6" borderId="2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6" borderId="30"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4" fillId="2" borderId="20" xfId="0" applyFont="1" applyFill="1" applyBorder="1" applyAlignment="1">
      <alignment horizontal="center"/>
    </xf>
    <xf numFmtId="0" fontId="4" fillId="2" borderId="9" xfId="0" applyFont="1" applyFill="1" applyBorder="1" applyAlignment="1">
      <alignment horizontal="center"/>
    </xf>
    <xf numFmtId="0" fontId="4" fillId="2" borderId="41" xfId="0" applyFont="1" applyFill="1" applyBorder="1" applyAlignment="1">
      <alignment horizontal="center"/>
    </xf>
    <xf numFmtId="165" fontId="3" fillId="6" borderId="18" xfId="1" applyNumberFormat="1" applyFont="1" applyFill="1" applyBorder="1" applyAlignment="1" applyProtection="1">
      <alignment horizontal="center"/>
      <protection locked="0"/>
    </xf>
    <xf numFmtId="165" fontId="3" fillId="6" borderId="4" xfId="1" applyNumberFormat="1" applyFont="1" applyFill="1" applyBorder="1" applyAlignment="1" applyProtection="1">
      <alignment horizontal="center"/>
      <protection locked="0"/>
    </xf>
    <xf numFmtId="0" fontId="0" fillId="6" borderId="17" xfId="0" applyFill="1" applyBorder="1" applyAlignment="1" applyProtection="1">
      <alignment horizontal="center" wrapText="1"/>
      <protection locked="0"/>
    </xf>
    <xf numFmtId="0" fontId="0" fillId="6" borderId="2" xfId="0" applyFill="1" applyBorder="1" applyAlignment="1" applyProtection="1">
      <alignment horizontal="center" wrapText="1"/>
      <protection locked="0"/>
    </xf>
    <xf numFmtId="165" fontId="0" fillId="6" borderId="17" xfId="0" applyNumberFormat="1" applyFill="1" applyBorder="1" applyAlignment="1" applyProtection="1">
      <alignment horizontal="center" wrapText="1"/>
      <protection locked="0"/>
    </xf>
    <xf numFmtId="165" fontId="0" fillId="6" borderId="2" xfId="0" applyNumberFormat="1" applyFill="1" applyBorder="1" applyAlignment="1" applyProtection="1">
      <alignment horizontal="center" wrapText="1"/>
      <protection locked="0"/>
    </xf>
    <xf numFmtId="166" fontId="0" fillId="6" borderId="18" xfId="0" applyNumberFormat="1" applyFill="1" applyBorder="1" applyAlignment="1" applyProtection="1">
      <alignment horizontal="center" wrapText="1"/>
      <protection locked="0"/>
    </xf>
    <xf numFmtId="166" fontId="0" fillId="6" borderId="4" xfId="0" applyNumberFormat="1" applyFill="1" applyBorder="1" applyAlignment="1" applyProtection="1">
      <alignment horizontal="center" wrapText="1"/>
      <protection locked="0"/>
    </xf>
    <xf numFmtId="10" fontId="0" fillId="0" borderId="28" xfId="2" applyNumberFormat="1" applyFont="1" applyBorder="1" applyAlignment="1" applyProtection="1">
      <alignment horizontal="center" wrapText="1"/>
    </xf>
    <xf numFmtId="10" fontId="0" fillId="0" borderId="11" xfId="2" applyNumberFormat="1" applyFont="1" applyBorder="1" applyAlignment="1" applyProtection="1">
      <alignment horizontal="center" wrapText="1"/>
    </xf>
    <xf numFmtId="10" fontId="0" fillId="0" borderId="17" xfId="2" applyNumberFormat="1" applyFont="1" applyBorder="1" applyAlignment="1" applyProtection="1">
      <alignment horizontal="center" wrapText="1"/>
    </xf>
    <xf numFmtId="10" fontId="0" fillId="0" borderId="2" xfId="2" applyNumberFormat="1" applyFont="1" applyBorder="1" applyAlignment="1" applyProtection="1">
      <alignment horizontal="center" wrapText="1"/>
    </xf>
    <xf numFmtId="10" fontId="3" fillId="6" borderId="18" xfId="2" applyNumberFormat="1" applyFont="1" applyFill="1" applyBorder="1" applyAlignment="1" applyProtection="1">
      <alignment horizontal="center"/>
      <protection locked="0"/>
    </xf>
    <xf numFmtId="10" fontId="3" fillId="6" borderId="4" xfId="2" applyNumberFormat="1" applyFont="1" applyFill="1" applyBorder="1" applyAlignment="1" applyProtection="1">
      <alignment horizontal="center"/>
      <protection locked="0"/>
    </xf>
    <xf numFmtId="0" fontId="0" fillId="0" borderId="29" xfId="0" applyBorder="1" applyAlignment="1">
      <alignment horizontal="center"/>
    </xf>
    <xf numFmtId="0" fontId="0" fillId="0" borderId="15" xfId="0" applyBorder="1" applyAlignment="1">
      <alignment horizontal="center"/>
    </xf>
    <xf numFmtId="0" fontId="4" fillId="6" borderId="50" xfId="0" applyFont="1" applyFill="1" applyBorder="1" applyAlignment="1" applyProtection="1">
      <alignment horizontal="center"/>
      <protection locked="0"/>
    </xf>
    <xf numFmtId="0" fontId="4" fillId="6" borderId="9"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0" fillId="0" borderId="19" xfId="0" applyBorder="1" applyAlignment="1">
      <alignment horizontal="left"/>
    </xf>
    <xf numFmtId="0" fontId="0" fillId="0" borderId="34" xfId="0" applyBorder="1" applyAlignment="1">
      <alignment horizontal="left"/>
    </xf>
    <xf numFmtId="0" fontId="0" fillId="0" borderId="1" xfId="0" applyBorder="1" applyAlignment="1">
      <alignment horizontal="left" wrapText="1"/>
    </xf>
    <xf numFmtId="0" fontId="0" fillId="0" borderId="17" xfId="0" applyBorder="1" applyAlignment="1">
      <alignment horizontal="left" wrapText="1"/>
    </xf>
    <xf numFmtId="0" fontId="4" fillId="2" borderId="10" xfId="0" applyFont="1" applyFill="1" applyBorder="1" applyAlignment="1">
      <alignment horizontal="center"/>
    </xf>
    <xf numFmtId="0" fontId="9" fillId="0" borderId="21" xfId="0" applyFont="1" applyBorder="1" applyAlignment="1">
      <alignment horizontal="center" wrapText="1"/>
    </xf>
    <xf numFmtId="0" fontId="9" fillId="0" borderId="5" xfId="0" applyFont="1" applyBorder="1" applyAlignment="1">
      <alignment horizontal="center" wrapText="1"/>
    </xf>
    <xf numFmtId="0" fontId="9" fillId="0" borderId="30" xfId="0" applyFont="1" applyBorder="1" applyAlignment="1">
      <alignment horizontal="center" wrapText="1"/>
    </xf>
    <xf numFmtId="0" fontId="9" fillId="0" borderId="7" xfId="0" applyFont="1" applyBorder="1" applyAlignment="1">
      <alignment horizontal="center" wrapText="1"/>
    </xf>
    <xf numFmtId="0" fontId="0" fillId="6" borderId="18"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34" xfId="0" applyFill="1" applyBorder="1" applyAlignment="1" applyProtection="1">
      <alignment horizontal="center"/>
      <protection locked="0"/>
    </xf>
    <xf numFmtId="0" fontId="0" fillId="6" borderId="22" xfId="0" applyFill="1" applyBorder="1" applyAlignment="1" applyProtection="1">
      <alignment horizontal="center"/>
      <protection locked="0"/>
    </xf>
    <xf numFmtId="0" fontId="0" fillId="0" borderId="3" xfId="0" applyBorder="1" applyAlignment="1">
      <alignment horizontal="left"/>
    </xf>
    <xf numFmtId="0" fontId="0" fillId="0" borderId="18"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39" xfId="0" applyBorder="1" applyAlignment="1">
      <alignment horizontal="left"/>
    </xf>
    <xf numFmtId="0" fontId="0" fillId="6" borderId="27"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0" borderId="29" xfId="0" applyBorder="1" applyAlignment="1">
      <alignment horizontal="left"/>
    </xf>
    <xf numFmtId="0" fontId="0" fillId="6" borderId="1" xfId="0" applyFill="1" applyBorder="1" applyAlignment="1" applyProtection="1">
      <alignment horizontal="center"/>
      <protection locked="0"/>
    </xf>
    <xf numFmtId="0" fontId="4" fillId="2" borderId="20" xfId="0" applyFont="1" applyFill="1" applyBorder="1" applyAlignment="1">
      <alignment horizontal="left"/>
    </xf>
    <xf numFmtId="0" fontId="4" fillId="2" borderId="9" xfId="0" applyFont="1" applyFill="1" applyBorder="1" applyAlignment="1">
      <alignment horizontal="left"/>
    </xf>
    <xf numFmtId="0" fontId="0" fillId="0" borderId="3" xfId="0" applyBorder="1" applyAlignment="1">
      <alignment horizontal="left" wrapText="1"/>
    </xf>
    <xf numFmtId="0" fontId="0" fillId="0" borderId="18" xfId="0" applyBorder="1" applyAlignment="1">
      <alignment horizontal="left" wrapText="1"/>
    </xf>
    <xf numFmtId="0" fontId="0" fillId="0" borderId="44" xfId="0" applyBorder="1" applyAlignment="1">
      <alignment horizontal="left" wrapText="1"/>
    </xf>
    <xf numFmtId="0" fontId="0" fillId="6" borderId="3" xfId="0" applyFill="1" applyBorder="1" applyAlignment="1" applyProtection="1">
      <alignment horizontal="center"/>
      <protection locked="0"/>
    </xf>
    <xf numFmtId="0" fontId="0" fillId="0" borderId="28" xfId="0" applyBorder="1" applyAlignment="1">
      <alignment horizontal="center" wrapText="1"/>
    </xf>
    <xf numFmtId="0" fontId="0" fillId="0" borderId="11" xfId="0" applyBorder="1" applyAlignment="1">
      <alignment horizontal="center" wrapText="1"/>
    </xf>
    <xf numFmtId="0" fontId="5" fillId="0" borderId="17" xfId="0" applyFont="1" applyBorder="1" applyAlignment="1">
      <alignment horizontal="center"/>
    </xf>
    <xf numFmtId="0" fontId="5" fillId="0" borderId="2" xfId="0" applyFont="1" applyBorder="1" applyAlignment="1">
      <alignment horizontal="center"/>
    </xf>
    <xf numFmtId="0" fontId="5" fillId="0" borderId="18" xfId="0" applyFont="1" applyBorder="1" applyAlignment="1">
      <alignment horizontal="center"/>
    </xf>
    <xf numFmtId="0" fontId="5" fillId="0" borderId="4" xfId="0" applyFont="1" applyBorder="1" applyAlignment="1">
      <alignment horizontal="center"/>
    </xf>
    <xf numFmtId="0" fontId="5" fillId="0" borderId="20"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0" fillId="0" borderId="29" xfId="0" applyBorder="1" applyAlignment="1">
      <alignment horizontal="left" wrapText="1"/>
    </xf>
    <xf numFmtId="0" fontId="11" fillId="4" borderId="17" xfId="4" applyBorder="1" applyAlignment="1">
      <alignment horizontal="center"/>
    </xf>
    <xf numFmtId="0" fontId="11" fillId="4" borderId="21" xfId="4" applyBorder="1" applyAlignment="1">
      <alignment horizontal="center"/>
    </xf>
    <xf numFmtId="0" fontId="11" fillId="4" borderId="5" xfId="4" applyBorder="1" applyAlignment="1">
      <alignment horizontal="center"/>
    </xf>
    <xf numFmtId="0" fontId="11" fillId="4" borderId="6" xfId="4" applyBorder="1" applyAlignment="1">
      <alignment horizontal="center"/>
    </xf>
    <xf numFmtId="0" fontId="11" fillId="4" borderId="20" xfId="4" applyBorder="1" applyAlignment="1">
      <alignment horizontal="center"/>
    </xf>
    <xf numFmtId="0" fontId="11" fillId="4" borderId="9" xfId="4" applyBorder="1" applyAlignment="1">
      <alignment horizontal="center"/>
    </xf>
    <xf numFmtId="0" fontId="11" fillId="4" borderId="10" xfId="4" applyBorder="1" applyAlignment="1">
      <alignment horizontal="center"/>
    </xf>
    <xf numFmtId="0" fontId="11" fillId="4" borderId="30" xfId="4" applyBorder="1" applyAlignment="1">
      <alignment horizontal="center"/>
    </xf>
    <xf numFmtId="0" fontId="11" fillId="4" borderId="7" xfId="4" applyBorder="1" applyAlignment="1">
      <alignment horizontal="center"/>
    </xf>
    <xf numFmtId="0" fontId="11" fillId="4" borderId="12" xfId="4" applyBorder="1" applyAlignment="1">
      <alignment horizontal="center"/>
    </xf>
    <xf numFmtId="0" fontId="11" fillId="4" borderId="40" xfId="4" applyBorder="1" applyAlignment="1">
      <alignment horizontal="center"/>
    </xf>
  </cellXfs>
  <cellStyles count="8">
    <cellStyle name="Bad" xfId="4" builtinId="27"/>
    <cellStyle name="Comma" xfId="1" builtinId="3"/>
    <cellStyle name="Comma 2" xfId="7" xr:uid="{636E9E3C-34DE-4467-A5F5-24AEC5B46F9E}"/>
    <cellStyle name="Good" xfId="3" builtinId="26"/>
    <cellStyle name="Neutral" xfId="5" builtinId="28"/>
    <cellStyle name="Normal" xfId="0" builtinId="0"/>
    <cellStyle name="Normal 2" xfId="6" xr:uid="{D5071CD7-CC02-4C25-9D69-1FC6B2AD4EFC}"/>
    <cellStyle name="Per cent" xfId="2" builtinId="5"/>
  </cellStyles>
  <dxfs count="2">
    <dxf>
      <border>
        <left style="thin">
          <color auto="1"/>
        </left>
        <right/>
        <top/>
        <bottom/>
        <vertical/>
        <horizontal/>
      </border>
    </dxf>
    <dxf>
      <font>
        <color theme="0"/>
      </font>
      <fill>
        <patternFill patternType="none">
          <bgColor auto="1"/>
        </patternFill>
      </fill>
      <border>
        <left/>
        <right/>
        <top/>
        <bottom/>
        <vertical/>
        <horizontal/>
      </border>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806824</xdr:colOff>
      <xdr:row>94</xdr:row>
      <xdr:rowOff>33618</xdr:rowOff>
    </xdr:from>
    <xdr:to>
      <xdr:col>5</xdr:col>
      <xdr:colOff>2192394</xdr:colOff>
      <xdr:row>95</xdr:row>
      <xdr:rowOff>383205</xdr:rowOff>
    </xdr:to>
    <xdr:pic>
      <xdr:nvPicPr>
        <xdr:cNvPr id="3" name="Picture 2">
          <a:extLst>
            <a:ext uri="{FF2B5EF4-FFF2-40B4-BE49-F238E27FC236}">
              <a16:creationId xmlns:a16="http://schemas.microsoft.com/office/drawing/2014/main" id="{D2DEFF70-5F7C-29C8-FDBB-5D51C75694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3" b="133"/>
        <a:stretch>
          <a:fillRect/>
        </a:stretch>
      </xdr:blipFill>
      <xdr:spPr bwMode="auto">
        <a:xfrm>
          <a:off x="10634383" y="23397883"/>
          <a:ext cx="1385570" cy="46164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cponlineeur.sharepoint.com/teams/PRSACOBC/Shared%20Documents/Templates/DC%20John%20Doe%20v1.12.xlsm" TargetMode="External"/><Relationship Id="rId1" Type="http://schemas.openxmlformats.org/officeDocument/2006/relationships/externalLinkPath" Target="https://lcponlineeur.sharepoint.com/teams/PRSACOBC/Shared%20Documents/Templates/DC%20John%20Doe%20v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dit"/>
      <sheetName val="Out"/>
      <sheetName val="Fact"/>
      <sheetName val="An"/>
      <sheetName val="TFLS"/>
      <sheetName val="WD"/>
      <sheetName val="DC"/>
      <sheetName val="PRSA"/>
      <sheetName val="Checks"/>
      <sheetName val="Inputs"/>
      <sheetName val="Report"/>
      <sheetName val="Pro Con"/>
      <sheetName val="Provider--&gt;&gt;"/>
      <sheetName val="Providers"/>
      <sheetName val="Lifestyles"/>
      <sheetName val="NI"/>
      <sheetName val="Aviva"/>
      <sheetName val="SL"/>
      <sheetName val="IL"/>
      <sheetName val="Acorn "/>
      <sheetName val="Saol"/>
      <sheetName val="Zurich"/>
      <sheetName val="Davy"/>
      <sheetName val="Independent Trustee Co. Ltd."/>
      <sheetName val="Goodbody"/>
      <sheetName val="Newcourt"/>
      <sheetName val="Cantor"/>
      <sheetName val="Quest"/>
      <sheetName val="Aon"/>
      <sheetName val="Assets"/>
      <sheetName val="FI for II"/>
    </sheetNames>
    <sheetDataSet>
      <sheetData sheetId="0" refreshError="1"/>
      <sheetData sheetId="1">
        <row r="5">
          <cell r="D5">
            <v>26.329302800232842</v>
          </cell>
          <cell r="E5">
            <v>25.1</v>
          </cell>
        </row>
        <row r="6">
          <cell r="D6">
            <v>27.837252495290354</v>
          </cell>
          <cell r="E6">
            <v>26.58993839835729</v>
          </cell>
        </row>
        <row r="26">
          <cell r="D26">
            <v>676580.70183063229</v>
          </cell>
          <cell r="E26">
            <v>676469.03948748042</v>
          </cell>
        </row>
        <row r="27">
          <cell r="D27">
            <v>640891.76943215728</v>
          </cell>
          <cell r="E27">
            <v>640785.99716214149</v>
          </cell>
        </row>
        <row r="28">
          <cell r="D28">
            <v>679694</v>
          </cell>
          <cell r="E28">
            <v>679694</v>
          </cell>
        </row>
        <row r="29">
          <cell r="D29">
            <v>679694</v>
          </cell>
          <cell r="E29">
            <v>679694</v>
          </cell>
        </row>
        <row r="43">
          <cell r="D43">
            <v>169145.17545765807</v>
          </cell>
          <cell r="E43">
            <v>169117.2598718701</v>
          </cell>
        </row>
        <row r="44">
          <cell r="D44">
            <v>169923.5</v>
          </cell>
          <cell r="E44">
            <v>169923.5</v>
          </cell>
        </row>
        <row r="45">
          <cell r="D45">
            <v>169923.5</v>
          </cell>
          <cell r="E45">
            <v>169923.5</v>
          </cell>
        </row>
        <row r="47">
          <cell r="D47">
            <v>160539.3116713507</v>
          </cell>
        </row>
        <row r="48">
          <cell r="D48">
            <v>169923.5</v>
          </cell>
        </row>
      </sheetData>
      <sheetData sheetId="2">
        <row r="10">
          <cell r="C10">
            <v>0.25</v>
          </cell>
        </row>
        <row r="11">
          <cell r="C11">
            <v>0.25</v>
          </cell>
        </row>
        <row r="12">
          <cell r="C12">
            <v>200000</v>
          </cell>
        </row>
        <row r="14">
          <cell r="C14">
            <v>200000</v>
          </cell>
        </row>
        <row r="15">
          <cell r="C15">
            <v>200000</v>
          </cell>
        </row>
        <row r="16">
          <cell r="D16">
            <v>0.03</v>
          </cell>
        </row>
        <row r="17">
          <cell r="D17">
            <v>0.03</v>
          </cell>
        </row>
        <row r="18">
          <cell r="D18">
            <v>0.02</v>
          </cell>
        </row>
      </sheetData>
      <sheetData sheetId="3">
        <row r="2">
          <cell r="K2">
            <v>2013</v>
          </cell>
        </row>
        <row r="48">
          <cell r="K48">
            <v>0</v>
          </cell>
        </row>
      </sheetData>
      <sheetData sheetId="4" refreshError="1"/>
      <sheetData sheetId="5" refreshError="1"/>
      <sheetData sheetId="6" refreshError="1"/>
      <sheetData sheetId="7" refreshError="1"/>
      <sheetData sheetId="8" refreshError="1"/>
      <sheetData sheetId="9">
        <row r="3">
          <cell r="B3">
            <v>45511</v>
          </cell>
        </row>
        <row r="5">
          <cell r="B5" t="str">
            <v>Brendan Anderson</v>
          </cell>
          <cell r="E5">
            <v>63.233401779603014</v>
          </cell>
        </row>
        <row r="6">
          <cell r="B6">
            <v>22415</v>
          </cell>
          <cell r="E6">
            <v>46156</v>
          </cell>
        </row>
        <row r="7">
          <cell r="B7">
            <v>39755</v>
          </cell>
          <cell r="E7">
            <v>63.233401779603014</v>
          </cell>
        </row>
        <row r="8">
          <cell r="B8">
            <v>39755</v>
          </cell>
          <cell r="E8">
            <v>45511</v>
          </cell>
        </row>
        <row r="9">
          <cell r="B9">
            <v>45504</v>
          </cell>
        </row>
        <row r="10">
          <cell r="B10" t="str">
            <v>Male</v>
          </cell>
        </row>
        <row r="12">
          <cell r="B12">
            <v>65</v>
          </cell>
        </row>
        <row r="49">
          <cell r="B49" t="str">
            <v>N</v>
          </cell>
        </row>
      </sheetData>
      <sheetData sheetId="10">
        <row r="10">
          <cell r="B10" t="str">
            <v>No</v>
          </cell>
        </row>
        <row r="12">
          <cell r="B12" t="str">
            <v>N</v>
          </cell>
        </row>
        <row r="286">
          <cell r="B286" t="str">
            <v>No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97"/>
  <sheetViews>
    <sheetView showGridLines="0" tabSelected="1" zoomScale="85" zoomScaleNormal="85" workbookViewId="0">
      <selection activeCell="J7" sqref="J7"/>
    </sheetView>
  </sheetViews>
  <sheetFormatPr defaultRowHeight="14.4" x14ac:dyDescent="0.3"/>
  <cols>
    <col min="1" max="1" width="49" customWidth="1"/>
    <col min="2" max="2" width="27.44140625" customWidth="1"/>
    <col min="3" max="3" width="19" customWidth="1"/>
    <col min="4" max="4" width="12.5546875" customWidth="1"/>
    <col min="5" max="5" width="39.33203125" customWidth="1"/>
    <col min="6" max="6" width="36.33203125" customWidth="1"/>
    <col min="7" max="7" width="9.33203125" customWidth="1"/>
    <col min="10" max="10" width="42.6640625" customWidth="1"/>
    <col min="11" max="11" width="26.109375" customWidth="1"/>
  </cols>
  <sheetData>
    <row r="1" spans="1:6" ht="41.25" customHeight="1" thickBot="1" x14ac:dyDescent="0.35">
      <c r="A1" s="80" t="s">
        <v>0</v>
      </c>
    </row>
    <row r="2" spans="1:6" ht="35.25" customHeight="1" thickBot="1" x14ac:dyDescent="0.4">
      <c r="A2" s="81" t="s">
        <v>1</v>
      </c>
      <c r="B2" s="82"/>
      <c r="C2" s="82"/>
      <c r="D2" s="82"/>
      <c r="E2" s="82"/>
      <c r="F2" s="83"/>
    </row>
    <row r="3" spans="1:6" x14ac:dyDescent="0.3">
      <c r="A3" s="84" t="s">
        <v>254</v>
      </c>
    </row>
    <row r="4" spans="1:6" ht="15" thickBot="1" x14ac:dyDescent="0.35">
      <c r="A4" s="85" t="s">
        <v>335</v>
      </c>
    </row>
    <row r="5" spans="1:6" ht="26.25" customHeight="1" x14ac:dyDescent="0.3">
      <c r="A5" s="160"/>
      <c r="B5" s="161"/>
      <c r="C5" s="161"/>
      <c r="D5" s="161"/>
      <c r="E5" s="161"/>
      <c r="F5" s="162"/>
    </row>
    <row r="6" spans="1:6" ht="30.75" customHeight="1" thickBot="1" x14ac:dyDescent="0.35">
      <c r="A6" s="163"/>
      <c r="B6" s="164"/>
      <c r="C6" s="164"/>
      <c r="D6" s="164"/>
      <c r="E6" s="164"/>
      <c r="F6" s="165"/>
    </row>
    <row r="7" spans="1:6" ht="15" thickBot="1" x14ac:dyDescent="0.35"/>
    <row r="8" spans="1:6" ht="18.600000000000001" thickBot="1" x14ac:dyDescent="0.4">
      <c r="A8" s="81" t="s">
        <v>2</v>
      </c>
      <c r="B8" s="82"/>
      <c r="C8" s="82"/>
      <c r="D8" s="82"/>
      <c r="E8" s="82"/>
      <c r="F8" s="83"/>
    </row>
    <row r="9" spans="1:6" x14ac:dyDescent="0.3">
      <c r="A9" s="138" t="s">
        <v>3</v>
      </c>
      <c r="B9" s="139"/>
      <c r="C9" s="177"/>
      <c r="D9" s="178"/>
    </row>
    <row r="10" spans="1:6" x14ac:dyDescent="0.3">
      <c r="A10" s="88" t="s">
        <v>4</v>
      </c>
      <c r="B10" s="89"/>
      <c r="C10" s="179"/>
      <c r="D10" s="180"/>
    </row>
    <row r="11" spans="1:6" x14ac:dyDescent="0.3">
      <c r="A11" s="88" t="s">
        <v>35</v>
      </c>
      <c r="B11" s="89"/>
      <c r="C11" s="179"/>
      <c r="D11" s="180"/>
    </row>
    <row r="12" spans="1:6" x14ac:dyDescent="0.3">
      <c r="A12" s="88" t="s">
        <v>5</v>
      </c>
      <c r="B12" s="90"/>
      <c r="C12" s="181"/>
      <c r="D12" s="182"/>
    </row>
    <row r="13" spans="1:6" x14ac:dyDescent="0.3">
      <c r="A13" s="88" t="s">
        <v>6</v>
      </c>
      <c r="B13" s="89"/>
      <c r="C13" s="179"/>
      <c r="D13" s="180"/>
    </row>
    <row r="14" spans="1:6" x14ac:dyDescent="0.3">
      <c r="A14" s="88" t="s">
        <v>7</v>
      </c>
      <c r="B14" s="89"/>
      <c r="C14" s="179"/>
      <c r="D14" s="180"/>
    </row>
    <row r="15" spans="1:6" x14ac:dyDescent="0.3">
      <c r="A15" s="88" t="s">
        <v>8</v>
      </c>
      <c r="B15" s="89"/>
      <c r="C15" s="179"/>
      <c r="D15" s="180"/>
    </row>
    <row r="16" spans="1:6" x14ac:dyDescent="0.3">
      <c r="A16" s="88" t="s">
        <v>9</v>
      </c>
      <c r="B16" s="90"/>
      <c r="C16" s="181"/>
      <c r="D16" s="182"/>
    </row>
    <row r="17" spans="1:7" x14ac:dyDescent="0.3">
      <c r="A17" s="91" t="s">
        <v>10</v>
      </c>
      <c r="B17" s="92"/>
      <c r="C17" s="183"/>
      <c r="D17" s="184"/>
    </row>
    <row r="18" spans="1:7" ht="15" thickBot="1" x14ac:dyDescent="0.35">
      <c r="A18" s="173" t="s">
        <v>241</v>
      </c>
      <c r="B18" s="174"/>
      <c r="C18" s="200"/>
      <c r="D18" s="201"/>
    </row>
    <row r="19" spans="1:7" ht="15" thickBot="1" x14ac:dyDescent="0.35"/>
    <row r="20" spans="1:7" ht="18.600000000000001" thickBot="1" x14ac:dyDescent="0.4">
      <c r="A20" s="86" t="s">
        <v>19</v>
      </c>
      <c r="B20" s="87"/>
      <c r="C20" s="87"/>
      <c r="D20" s="87"/>
      <c r="E20" s="82"/>
      <c r="F20" s="83"/>
    </row>
    <row r="21" spans="1:7" ht="28.5" customHeight="1" x14ac:dyDescent="0.3">
      <c r="A21" s="93" t="s">
        <v>20</v>
      </c>
      <c r="B21" s="161"/>
      <c r="C21" s="161"/>
      <c r="D21" s="162"/>
      <c r="E21" t="s">
        <v>322</v>
      </c>
      <c r="G21" t="s">
        <v>29</v>
      </c>
    </row>
    <row r="22" spans="1:7" ht="26.25" customHeight="1" x14ac:dyDescent="0.3">
      <c r="A22" s="94" t="s">
        <v>21</v>
      </c>
      <c r="B22" s="202"/>
      <c r="C22" s="202"/>
      <c r="D22" s="203"/>
      <c r="E22" t="s">
        <v>323</v>
      </c>
    </row>
    <row r="23" spans="1:7" ht="2.25" hidden="1" customHeight="1" x14ac:dyDescent="0.3">
      <c r="A23" s="94"/>
      <c r="B23" s="171"/>
      <c r="C23" s="172"/>
      <c r="D23" s="129"/>
    </row>
    <row r="24" spans="1:7" ht="27" customHeight="1" x14ac:dyDescent="0.3">
      <c r="A24" s="94" t="s">
        <v>249</v>
      </c>
      <c r="B24" s="175"/>
      <c r="C24" s="175"/>
      <c r="D24" s="176"/>
      <c r="E24" t="str">
        <f>IF(AND('Aviva Commission'!$C$1="Y",B24=""),"Please complete",IFERROR(IF(B21=Providers!K3,'Aviva Commission'!E13,""),""))</f>
        <v/>
      </c>
    </row>
    <row r="25" spans="1:7" ht="2.25" hidden="1" customHeight="1" x14ac:dyDescent="0.3">
      <c r="A25" s="94"/>
      <c r="B25" s="171"/>
      <c r="C25" s="172"/>
      <c r="D25" s="129"/>
    </row>
    <row r="26" spans="1:7" ht="27.75" customHeight="1" x14ac:dyDescent="0.3">
      <c r="A26" s="94" t="s">
        <v>22</v>
      </c>
      <c r="B26" s="204"/>
      <c r="C26" s="204"/>
      <c r="D26" s="205"/>
      <c r="E26" t="str">
        <f>IF(B26="","Please complete","")</f>
        <v>Please complete</v>
      </c>
    </row>
    <row r="27" spans="1:7" ht="27.75" customHeight="1" thickBot="1" x14ac:dyDescent="0.35">
      <c r="A27" s="130" t="s">
        <v>194</v>
      </c>
      <c r="B27" s="206"/>
      <c r="C27" s="206"/>
      <c r="D27" s="207"/>
      <c r="E27" s="135" t="str">
        <f ca="1">IF(B27="","Please complete",IF((TODAY()-B27)&gt;120,"This should be within the last 4 months",""))</f>
        <v>Please complete</v>
      </c>
    </row>
    <row r="28" spans="1:7" ht="18.600000000000001" thickBot="1" x14ac:dyDescent="0.4">
      <c r="A28" s="128" t="s">
        <v>237</v>
      </c>
      <c r="B28" s="127"/>
      <c r="C28" s="127"/>
      <c r="D28" s="127"/>
      <c r="E28" s="82"/>
      <c r="F28" s="83"/>
    </row>
    <row r="29" spans="1:7" ht="27.75" customHeight="1" x14ac:dyDescent="0.3">
      <c r="A29" s="93" t="s">
        <v>204</v>
      </c>
      <c r="B29" s="208" t="str">
        <f>IFERROR(VLOOKUP(B22,AMC!B:E,4,0),"")</f>
        <v/>
      </c>
      <c r="C29" s="208"/>
      <c r="D29" s="209"/>
      <c r="E29" t="s">
        <v>326</v>
      </c>
    </row>
    <row r="30" spans="1:7" ht="48" customHeight="1" x14ac:dyDescent="0.3">
      <c r="A30" s="94" t="s">
        <v>205</v>
      </c>
      <c r="B30" s="210" t="str">
        <f>CONCATENATE(Providers!C21,Providers!C22,Providers!C23,Providers!C24)</f>
        <v/>
      </c>
      <c r="C30" s="210"/>
      <c r="D30" s="211"/>
      <c r="E30" t="s">
        <v>326</v>
      </c>
    </row>
    <row r="31" spans="1:7" ht="46.5" customHeight="1" thickBot="1" x14ac:dyDescent="0.35">
      <c r="A31" s="131" t="s">
        <v>195</v>
      </c>
      <c r="B31" s="212" t="s">
        <v>29</v>
      </c>
      <c r="C31" s="212"/>
      <c r="D31" s="213"/>
    </row>
    <row r="32" spans="1:7" ht="18.600000000000001" thickBot="1" x14ac:dyDescent="0.4">
      <c r="A32" s="125" t="s">
        <v>238</v>
      </c>
      <c r="B32" s="126"/>
      <c r="C32" s="126"/>
      <c r="D32" s="126"/>
      <c r="E32" s="82"/>
      <c r="F32" s="83"/>
    </row>
    <row r="33" spans="1:6" ht="3" customHeight="1" x14ac:dyDescent="0.3">
      <c r="A33" s="95"/>
      <c r="B33" s="95"/>
      <c r="C33" s="95"/>
      <c r="D33" s="95"/>
      <c r="E33" s="95"/>
      <c r="F33" s="95"/>
    </row>
    <row r="34" spans="1:6" ht="44.25" customHeight="1" x14ac:dyDescent="0.35">
      <c r="A34" s="132" t="s">
        <v>239</v>
      </c>
      <c r="B34" s="133" t="s">
        <v>23</v>
      </c>
      <c r="C34" s="134" t="str">
        <f>Providers!D19</f>
        <v/>
      </c>
      <c r="D34" s="214" t="s">
        <v>327</v>
      </c>
      <c r="E34" s="215"/>
    </row>
    <row r="35" spans="1:6" x14ac:dyDescent="0.3">
      <c r="A35" s="142"/>
      <c r="B35" s="143"/>
      <c r="C35" s="76"/>
      <c r="D35" s="181" t="str">
        <f>IF(OR(Providers!$C$19="N", A35=""),"","Please provide fund fact sheet")</f>
        <v/>
      </c>
      <c r="E35" s="181"/>
    </row>
    <row r="36" spans="1:6" x14ac:dyDescent="0.3">
      <c r="A36" s="142"/>
      <c r="B36" s="143"/>
      <c r="C36" s="76"/>
      <c r="D36" s="181" t="str">
        <f>IF(OR(Providers!$C$19="N", A36=""),"","Please provide fund fact sheet")</f>
        <v/>
      </c>
      <c r="E36" s="181"/>
    </row>
    <row r="37" spans="1:6" x14ac:dyDescent="0.3">
      <c r="A37" s="142"/>
      <c r="B37" s="143"/>
      <c r="C37" s="76"/>
      <c r="D37" s="181" t="str">
        <f>IF(OR(Providers!$C$19="N", A37=""),"","Please provide fund fact sheet")</f>
        <v/>
      </c>
      <c r="E37" s="181"/>
    </row>
    <row r="38" spans="1:6" x14ac:dyDescent="0.3">
      <c r="A38" s="142"/>
      <c r="B38" s="143"/>
      <c r="C38" s="76"/>
      <c r="D38" s="181" t="str">
        <f>IF(OR(Providers!$C$19="N", A38=""),"","Please provide fund fact sheet")</f>
        <v/>
      </c>
      <c r="E38" s="181"/>
    </row>
    <row r="39" spans="1:6" x14ac:dyDescent="0.3">
      <c r="A39" s="142"/>
      <c r="B39" s="143"/>
      <c r="C39" s="76"/>
      <c r="D39" s="181" t="str">
        <f>IF(OR(Providers!$C$19="N", A39=""),"","Please provide fund fact sheet")</f>
        <v/>
      </c>
      <c r="E39" s="181"/>
    </row>
    <row r="40" spans="1:6" x14ac:dyDescent="0.3">
      <c r="A40" s="142"/>
      <c r="B40" s="143"/>
      <c r="C40" s="76"/>
      <c r="D40" s="181" t="str">
        <f>IF(OR(Providers!$C$19="N", A40=""),"","Please provide fund fact sheet")</f>
        <v/>
      </c>
      <c r="E40" s="181"/>
    </row>
    <row r="41" spans="1:6" x14ac:dyDescent="0.3">
      <c r="A41" s="142"/>
      <c r="B41" s="143"/>
      <c r="C41" s="76"/>
      <c r="D41" s="181" t="str">
        <f>IF(OR(Providers!$C$19="N", A41=""),"","Please provide fund fact sheet")</f>
        <v/>
      </c>
      <c r="E41" s="181"/>
    </row>
    <row r="42" spans="1:6" ht="15" thickBot="1" x14ac:dyDescent="0.35">
      <c r="A42" s="142"/>
      <c r="B42" s="143"/>
      <c r="C42" s="76"/>
      <c r="D42" s="181" t="str">
        <f>IF(OR(Providers!$C$19="N", A42=""),"","Please provide fund fact sheet")</f>
        <v/>
      </c>
      <c r="E42" s="181"/>
    </row>
    <row r="43" spans="1:6" ht="15" hidden="1" thickBot="1" x14ac:dyDescent="0.35">
      <c r="A43" s="96"/>
      <c r="B43" s="97"/>
      <c r="C43" s="98"/>
      <c r="D43" s="98"/>
      <c r="E43" s="85"/>
    </row>
    <row r="44" spans="1:6" ht="18.600000000000001" thickBot="1" x14ac:dyDescent="0.4">
      <c r="A44" s="81" t="s">
        <v>11</v>
      </c>
      <c r="B44" s="99"/>
      <c r="C44" s="99"/>
      <c r="D44" s="99"/>
      <c r="E44" s="82"/>
      <c r="F44" s="83"/>
    </row>
    <row r="45" spans="1:6" ht="37.5" customHeight="1" thickBot="1" x14ac:dyDescent="0.35">
      <c r="A45" s="166" t="str">
        <f>CONCATENATE("- Please provide a copy of transfer value statement, leaving service options, Member Scheme Booklet, Member Investment options Guide.",
"
- List all funds available under the Scheme (or provide an Investment guide), and all funds in which monies are currently invested.")</f>
        <v>- Please provide a copy of transfer value statement, leaving service options, Member Scheme Booklet, Member Investment options Guide.
- List all funds available under the Scheme (or provide an Investment guide), and all funds in which monies are currently invested.</v>
      </c>
      <c r="B45" s="167"/>
      <c r="C45" s="167"/>
      <c r="D45" s="167"/>
      <c r="E45" s="167"/>
      <c r="F45" s="168"/>
    </row>
    <row r="46" spans="1:6" ht="36" customHeight="1" thickBot="1" x14ac:dyDescent="0.35">
      <c r="A46" s="156" t="s">
        <v>16</v>
      </c>
      <c r="B46" s="216"/>
      <c r="C46" s="217"/>
      <c r="D46" s="217"/>
      <c r="E46" s="217"/>
      <c r="F46" s="218"/>
    </row>
    <row r="47" spans="1:6" ht="12.75" customHeight="1" thickBot="1" x14ac:dyDescent="0.35">
      <c r="A47" s="29"/>
      <c r="B47" s="29"/>
      <c r="C47" s="29"/>
      <c r="D47" s="29"/>
      <c r="E47" s="29"/>
      <c r="F47" s="29"/>
    </row>
    <row r="48" spans="1:6" ht="30" customHeight="1" x14ac:dyDescent="0.3">
      <c r="A48" s="157" t="s">
        <v>12</v>
      </c>
      <c r="B48" s="158" t="s">
        <v>30</v>
      </c>
      <c r="C48" s="158" t="s">
        <v>13</v>
      </c>
      <c r="D48" s="249" t="s">
        <v>14</v>
      </c>
      <c r="E48" s="249"/>
      <c r="F48" s="250"/>
    </row>
    <row r="49" spans="1:6" x14ac:dyDescent="0.3">
      <c r="A49" s="144"/>
      <c r="B49" s="143"/>
      <c r="C49" s="145"/>
      <c r="D49" s="251" t="str">
        <f t="shared" ref="D49:D55" si="0">IF(A49="","","Please provide fund fact sheet or asset mix")</f>
        <v/>
      </c>
      <c r="E49" s="251"/>
      <c r="F49" s="252"/>
    </row>
    <row r="50" spans="1:6" x14ac:dyDescent="0.3">
      <c r="A50" s="144"/>
      <c r="B50" s="143"/>
      <c r="C50" s="145"/>
      <c r="D50" s="251" t="str">
        <f t="shared" si="0"/>
        <v/>
      </c>
      <c r="E50" s="251"/>
      <c r="F50" s="252"/>
    </row>
    <row r="51" spans="1:6" x14ac:dyDescent="0.3">
      <c r="A51" s="144"/>
      <c r="B51" s="143"/>
      <c r="C51" s="145"/>
      <c r="D51" s="251" t="str">
        <f t="shared" si="0"/>
        <v/>
      </c>
      <c r="E51" s="251"/>
      <c r="F51" s="252"/>
    </row>
    <row r="52" spans="1:6" x14ac:dyDescent="0.3">
      <c r="A52" s="144"/>
      <c r="B52" s="143"/>
      <c r="C52" s="145"/>
      <c r="D52" s="251" t="str">
        <f t="shared" si="0"/>
        <v/>
      </c>
      <c r="E52" s="251"/>
      <c r="F52" s="252"/>
    </row>
    <row r="53" spans="1:6" x14ac:dyDescent="0.3">
      <c r="A53" s="144"/>
      <c r="B53" s="143"/>
      <c r="C53" s="145"/>
      <c r="D53" s="251" t="str">
        <f t="shared" si="0"/>
        <v/>
      </c>
      <c r="E53" s="251"/>
      <c r="F53" s="252"/>
    </row>
    <row r="54" spans="1:6" x14ac:dyDescent="0.3">
      <c r="A54" s="144"/>
      <c r="B54" s="143"/>
      <c r="C54" s="145"/>
      <c r="D54" s="251" t="str">
        <f t="shared" si="0"/>
        <v/>
      </c>
      <c r="E54" s="251"/>
      <c r="F54" s="252"/>
    </row>
    <row r="55" spans="1:6" ht="15" thickBot="1" x14ac:dyDescent="0.35">
      <c r="A55" s="146"/>
      <c r="B55" s="159"/>
      <c r="C55" s="140"/>
      <c r="D55" s="253" t="str">
        <f t="shared" si="0"/>
        <v/>
      </c>
      <c r="E55" s="253"/>
      <c r="F55" s="254"/>
    </row>
    <row r="56" spans="1:6" ht="15" thickBot="1" x14ac:dyDescent="0.35">
      <c r="A56" s="137" t="s">
        <v>15</v>
      </c>
      <c r="B56" s="155">
        <f>SUM(B49:B55)</f>
        <v>0</v>
      </c>
      <c r="C56" s="136" t="str">
        <f>IF(B56&lt;&gt;B26,"Warning: this does not equal the transfer value input above","")</f>
        <v/>
      </c>
      <c r="D56" s="255"/>
      <c r="E56" s="256"/>
      <c r="F56" s="257"/>
    </row>
    <row r="57" spans="1:6" ht="15" thickBot="1" x14ac:dyDescent="0.35"/>
    <row r="58" spans="1:6" ht="28.5" customHeight="1" thickBot="1" x14ac:dyDescent="0.35">
      <c r="A58" s="219" t="s">
        <v>17</v>
      </c>
      <c r="B58" s="220"/>
      <c r="C58" s="220"/>
      <c r="D58" s="230"/>
      <c r="E58" s="230"/>
      <c r="F58" s="231"/>
    </row>
    <row r="59" spans="1:6" ht="28.5" customHeight="1" thickBot="1" x14ac:dyDescent="0.35"/>
    <row r="60" spans="1:6" ht="33.75" customHeight="1" x14ac:dyDescent="0.3">
      <c r="A60" s="169" t="s">
        <v>31</v>
      </c>
      <c r="B60" s="170"/>
      <c r="C60" s="170"/>
      <c r="D60" s="147"/>
    </row>
    <row r="61" spans="1:6" ht="30.75" customHeight="1" x14ac:dyDescent="0.3">
      <c r="A61" s="221" t="s">
        <v>325</v>
      </c>
      <c r="B61" s="222"/>
      <c r="C61" s="222"/>
      <c r="D61" s="141"/>
      <c r="E61" s="85" t="str">
        <f>+IF(D61="Y","Please provide the glide path andf actsheet/investment booklet and the AMCs for ALL funds in the strategy and what is being targeted if known","")</f>
        <v/>
      </c>
    </row>
    <row r="62" spans="1:6" x14ac:dyDescent="0.3">
      <c r="A62" s="189" t="s">
        <v>337</v>
      </c>
      <c r="B62" s="190"/>
      <c r="C62" s="190"/>
      <c r="D62" s="141"/>
    </row>
    <row r="63" spans="1:6" x14ac:dyDescent="0.3">
      <c r="A63" s="189" t="s">
        <v>336</v>
      </c>
      <c r="B63" s="190"/>
      <c r="C63" s="190"/>
      <c r="D63" s="141"/>
    </row>
    <row r="64" spans="1:6" ht="15" thickBot="1" x14ac:dyDescent="0.35">
      <c r="A64" s="232" t="s">
        <v>18</v>
      </c>
      <c r="B64" s="233"/>
      <c r="C64" s="233"/>
      <c r="D64" s="148"/>
    </row>
    <row r="66" spans="1:6" ht="15" thickBot="1" x14ac:dyDescent="0.35"/>
    <row r="67" spans="1:6" ht="15" thickBot="1" x14ac:dyDescent="0.35">
      <c r="A67" s="149" t="s">
        <v>324</v>
      </c>
      <c r="B67" s="150"/>
      <c r="C67" s="151"/>
      <c r="D67" s="197"/>
      <c r="E67" s="223"/>
    </row>
    <row r="68" spans="1:6" ht="28.5" customHeight="1" x14ac:dyDescent="0.3">
      <c r="A68" s="234" t="s">
        <v>342</v>
      </c>
      <c r="B68" s="235"/>
      <c r="C68" s="235"/>
      <c r="D68" s="177"/>
      <c r="E68" s="178"/>
      <c r="F68" s="96" t="s">
        <v>32</v>
      </c>
    </row>
    <row r="69" spans="1:6" x14ac:dyDescent="0.3">
      <c r="A69" s="189" t="s">
        <v>252</v>
      </c>
      <c r="B69" s="190"/>
      <c r="C69" s="190"/>
      <c r="D69" s="181"/>
      <c r="E69" s="182"/>
    </row>
    <row r="70" spans="1:6" ht="36" customHeight="1" x14ac:dyDescent="0.3">
      <c r="A70" s="221" t="s">
        <v>33</v>
      </c>
      <c r="B70" s="222"/>
      <c r="C70" s="222"/>
      <c r="D70" s="181"/>
      <c r="E70" s="182"/>
    </row>
    <row r="71" spans="1:6" ht="33.75" customHeight="1" x14ac:dyDescent="0.3">
      <c r="A71" s="221" t="s">
        <v>34</v>
      </c>
      <c r="B71" s="222"/>
      <c r="C71" s="222"/>
      <c r="D71" s="181"/>
      <c r="E71" s="182"/>
    </row>
    <row r="72" spans="1:6" ht="15" thickBot="1" x14ac:dyDescent="0.35">
      <c r="A72" s="232" t="s">
        <v>338</v>
      </c>
      <c r="B72" s="233"/>
      <c r="C72" s="233"/>
      <c r="D72" s="228"/>
      <c r="E72" s="229"/>
    </row>
    <row r="73" spans="1:6" ht="15" thickBot="1" x14ac:dyDescent="0.35"/>
    <row r="74" spans="1:6" x14ac:dyDescent="0.3">
      <c r="A74" s="185" t="s">
        <v>24</v>
      </c>
      <c r="B74" s="186"/>
      <c r="C74" s="100" t="s">
        <v>25</v>
      </c>
    </row>
    <row r="75" spans="1:6" x14ac:dyDescent="0.3">
      <c r="A75" s="187" t="s">
        <v>27</v>
      </c>
      <c r="B75" s="187"/>
      <c r="C75" s="152"/>
      <c r="D75" s="85" t="str">
        <f>IF(C75="Y","If Y, then cert not required, unless a Master Trust",IF(C75="N","ok","Please complete"))</f>
        <v>Please complete</v>
      </c>
    </row>
    <row r="76" spans="1:6" x14ac:dyDescent="0.3">
      <c r="A76" s="187" t="s">
        <v>26</v>
      </c>
      <c r="B76" s="187"/>
      <c r="C76" s="152"/>
      <c r="D76" s="85" t="str">
        <f>IF(C76="","Please complete","ok")</f>
        <v>Please complete</v>
      </c>
    </row>
    <row r="77" spans="1:6" ht="30.75" customHeight="1" x14ac:dyDescent="0.3">
      <c r="A77" s="188" t="s">
        <v>340</v>
      </c>
      <c r="B77" s="188"/>
      <c r="C77" s="152"/>
      <c r="D77" s="85" t="str">
        <f>IF(C77="Y","If Y, then please provide latest SFT/PFT in the useful information cell below",IF(C77="N","ok","Please complete"))</f>
        <v>Please complete</v>
      </c>
    </row>
    <row r="78" spans="1:6" x14ac:dyDescent="0.3">
      <c r="A78" s="187" t="s">
        <v>28</v>
      </c>
      <c r="B78" s="187"/>
      <c r="C78" s="152"/>
      <c r="D78" s="85" t="str">
        <f>IF(C78="Y","If Y, then please provide additional details (by email)",IF(C78="N","ok","Please complete"))</f>
        <v>Please complete</v>
      </c>
    </row>
    <row r="79" spans="1:6" x14ac:dyDescent="0.3">
      <c r="A79" s="187" t="s">
        <v>341</v>
      </c>
      <c r="B79" s="187"/>
      <c r="C79" s="152"/>
      <c r="D79" s="85" t="str">
        <f>IF(C79="Y","ok",IF(C79="N","Cert may not proceed - please contact LCP","Please complete"))</f>
        <v>Please complete</v>
      </c>
    </row>
    <row r="80" spans="1:6" x14ac:dyDescent="0.3">
      <c r="A80" s="187" t="str">
        <f>IF(OR($C$76="",$C$76="Y"),"","Does the fund value include a previous transfer in?")</f>
        <v/>
      </c>
      <c r="B80" s="187"/>
      <c r="C80" s="152"/>
      <c r="D80" s="85" t="str">
        <f>IF(C80="Y","If Y, then please provide additional details (by email)",IF(C80="N","ok",IF(A80="","","Please complete")))</f>
        <v/>
      </c>
    </row>
    <row r="81" spans="1:6" x14ac:dyDescent="0.3">
      <c r="A81" s="187" t="str">
        <f>IF(OR($C$76="",$C$76="Y"),"","Did the member work part time while a member of the scheme?")</f>
        <v/>
      </c>
      <c r="B81" s="187"/>
      <c r="C81" s="152"/>
      <c r="D81" s="85" t="str">
        <f>IF(C81="Y","If Y, then please provide additional details (by email)",IF(C81="N","ok",IF(A81="","","Please complete")))</f>
        <v/>
      </c>
    </row>
    <row r="82" spans="1:6" x14ac:dyDescent="0.3">
      <c r="A82" s="187" t="str">
        <f ca="1">IF(C10="","",IF(C16&lt;(TODAY()-C10)/365.25,"If member is past NRA - confirm Trustees are willing to grant a transfer",""))</f>
        <v/>
      </c>
      <c r="B82" s="187"/>
      <c r="C82" s="152"/>
      <c r="D82" s="85" t="str">
        <f ca="1">IF(C82="Y","If Y, then please provide additional details (by email)",IF(C82="N","ok",IF(A82="","","Please complete")))</f>
        <v/>
      </c>
    </row>
    <row r="83" spans="1:6" ht="15" thickBot="1" x14ac:dyDescent="0.35"/>
    <row r="84" spans="1:6" ht="15" thickBot="1" x14ac:dyDescent="0.35">
      <c r="A84" s="197" t="s">
        <v>253</v>
      </c>
      <c r="B84" s="198"/>
      <c r="C84" s="198"/>
      <c r="D84" s="198"/>
      <c r="E84" s="198"/>
      <c r="F84" s="199"/>
    </row>
    <row r="85" spans="1:6" ht="27" customHeight="1" x14ac:dyDescent="0.3">
      <c r="A85" s="191"/>
      <c r="B85" s="192"/>
      <c r="C85" s="192"/>
      <c r="D85" s="192"/>
      <c r="E85" s="192"/>
      <c r="F85" s="193"/>
    </row>
    <row r="86" spans="1:6" ht="39" customHeight="1" thickBot="1" x14ac:dyDescent="0.35">
      <c r="A86" s="194"/>
      <c r="B86" s="195"/>
      <c r="C86" s="195"/>
      <c r="D86" s="195"/>
      <c r="E86" s="195"/>
      <c r="F86" s="196"/>
    </row>
    <row r="87" spans="1:6" ht="15" thickBot="1" x14ac:dyDescent="0.35"/>
    <row r="88" spans="1:6" ht="15" thickBot="1" x14ac:dyDescent="0.35">
      <c r="A88" s="243" t="s">
        <v>328</v>
      </c>
      <c r="B88" s="244"/>
      <c r="C88" s="244"/>
      <c r="D88" s="197"/>
      <c r="E88" s="223"/>
    </row>
    <row r="89" spans="1:6" x14ac:dyDescent="0.3">
      <c r="A89" s="236" t="s">
        <v>334</v>
      </c>
      <c r="B89" s="237"/>
      <c r="C89" s="238"/>
      <c r="D89" s="239"/>
      <c r="E89" s="240"/>
      <c r="F89" s="96"/>
    </row>
    <row r="90" spans="1:6" x14ac:dyDescent="0.3">
      <c r="A90" s="189" t="s">
        <v>331</v>
      </c>
      <c r="B90" s="190"/>
      <c r="C90" s="241"/>
      <c r="D90" s="242"/>
      <c r="E90" s="182"/>
    </row>
    <row r="91" spans="1:6" x14ac:dyDescent="0.3">
      <c r="A91" s="221" t="s">
        <v>329</v>
      </c>
      <c r="B91" s="222"/>
      <c r="C91" s="258"/>
      <c r="D91" s="242"/>
      <c r="E91" s="182"/>
    </row>
    <row r="92" spans="1:6" x14ac:dyDescent="0.3">
      <c r="A92" s="221" t="s">
        <v>330</v>
      </c>
      <c r="B92" s="222"/>
      <c r="C92" s="258"/>
      <c r="D92" s="242"/>
      <c r="E92" s="182"/>
    </row>
    <row r="93" spans="1:6" ht="15" thickBot="1" x14ac:dyDescent="0.35">
      <c r="A93" s="245" t="s">
        <v>332</v>
      </c>
      <c r="B93" s="246"/>
      <c r="C93" s="247"/>
      <c r="D93" s="248"/>
      <c r="E93" s="229"/>
    </row>
    <row r="94" spans="1:6" ht="15" thickBot="1" x14ac:dyDescent="0.35">
      <c r="A94" s="153"/>
      <c r="B94" s="154"/>
      <c r="C94" s="154"/>
    </row>
    <row r="95" spans="1:6" ht="9" customHeight="1" x14ac:dyDescent="0.3">
      <c r="A95" s="224" t="s">
        <v>333</v>
      </c>
      <c r="B95" s="225"/>
      <c r="C95" s="225"/>
      <c r="D95" s="225"/>
      <c r="E95" s="225"/>
      <c r="F95" s="101"/>
    </row>
    <row r="96" spans="1:6" ht="33.75" customHeight="1" thickBot="1" x14ac:dyDescent="0.35">
      <c r="A96" s="226"/>
      <c r="B96" s="227"/>
      <c r="C96" s="227"/>
      <c r="D96" s="227"/>
      <c r="E96" s="227"/>
      <c r="F96" s="102"/>
    </row>
    <row r="97" spans="1:1" ht="15" thickBot="1" x14ac:dyDescent="0.35">
      <c r="A97" s="118" t="s">
        <v>339</v>
      </c>
    </row>
  </sheetData>
  <sheetProtection algorithmName="SHA-512" hashValue="l4iu2zEY6m2qtoStap7UH3ZkO1Rf4Pkryn1mfyqgGYnlqrlo3IyCkQ3TsdmBk19ajK9Ty0lJTng3fBjxdob+nA==" saltValue="jsFqPpJZTkJ+EVuO9fy5bw==" spinCount="100000" sheet="1" objects="1" scenarios="1"/>
  <mergeCells count="84">
    <mergeCell ref="A93:C93"/>
    <mergeCell ref="D93:E93"/>
    <mergeCell ref="D48:F48"/>
    <mergeCell ref="D49:F49"/>
    <mergeCell ref="D50:F50"/>
    <mergeCell ref="D51:F51"/>
    <mergeCell ref="D52:F52"/>
    <mergeCell ref="D53:F53"/>
    <mergeCell ref="D54:F54"/>
    <mergeCell ref="D55:F55"/>
    <mergeCell ref="D56:F56"/>
    <mergeCell ref="A91:C91"/>
    <mergeCell ref="D91:E91"/>
    <mergeCell ref="A92:C92"/>
    <mergeCell ref="D92:E92"/>
    <mergeCell ref="D88:E88"/>
    <mergeCell ref="A89:C89"/>
    <mergeCell ref="D89:E89"/>
    <mergeCell ref="A90:C90"/>
    <mergeCell ref="D90:E90"/>
    <mergeCell ref="A88:C88"/>
    <mergeCell ref="A95:E96"/>
    <mergeCell ref="D70:E70"/>
    <mergeCell ref="D71:E71"/>
    <mergeCell ref="D72:E72"/>
    <mergeCell ref="D58:F58"/>
    <mergeCell ref="A72:C72"/>
    <mergeCell ref="A64:C64"/>
    <mergeCell ref="A70:C70"/>
    <mergeCell ref="A71:C71"/>
    <mergeCell ref="A68:C68"/>
    <mergeCell ref="A81:B81"/>
    <mergeCell ref="A79:B79"/>
    <mergeCell ref="A80:B80"/>
    <mergeCell ref="A76:B76"/>
    <mergeCell ref="A78:B78"/>
    <mergeCell ref="A75:B75"/>
    <mergeCell ref="D40:E40"/>
    <mergeCell ref="D41:E41"/>
    <mergeCell ref="D42:E42"/>
    <mergeCell ref="D68:E68"/>
    <mergeCell ref="D67:E67"/>
    <mergeCell ref="A62:C62"/>
    <mergeCell ref="A63:C63"/>
    <mergeCell ref="B46:F46"/>
    <mergeCell ref="A58:C58"/>
    <mergeCell ref="A61:C61"/>
    <mergeCell ref="D38:E38"/>
    <mergeCell ref="D39:E39"/>
    <mergeCell ref="B26:D26"/>
    <mergeCell ref="B27:D27"/>
    <mergeCell ref="B29:D29"/>
    <mergeCell ref="B30:D30"/>
    <mergeCell ref="B31:D31"/>
    <mergeCell ref="D34:E34"/>
    <mergeCell ref="D35:E35"/>
    <mergeCell ref="C18:D18"/>
    <mergeCell ref="B21:D21"/>
    <mergeCell ref="B22:D22"/>
    <mergeCell ref="D36:E36"/>
    <mergeCell ref="D37:E37"/>
    <mergeCell ref="A74:B74"/>
    <mergeCell ref="A82:B82"/>
    <mergeCell ref="A77:B77"/>
    <mergeCell ref="A69:C69"/>
    <mergeCell ref="A85:F86"/>
    <mergeCell ref="A84:F84"/>
    <mergeCell ref="D69:E69"/>
    <mergeCell ref="A5:F6"/>
    <mergeCell ref="A45:F45"/>
    <mergeCell ref="A60:C60"/>
    <mergeCell ref="B23:C23"/>
    <mergeCell ref="B25:C25"/>
    <mergeCell ref="A18:B18"/>
    <mergeCell ref="B24:D24"/>
    <mergeCell ref="C9:D9"/>
    <mergeCell ref="C10:D10"/>
    <mergeCell ref="C11:D11"/>
    <mergeCell ref="C12:D12"/>
    <mergeCell ref="C13:D13"/>
    <mergeCell ref="C14:D14"/>
    <mergeCell ref="C15:D15"/>
    <mergeCell ref="C16:D16"/>
    <mergeCell ref="C17:D17"/>
  </mergeCells>
  <conditionalFormatting sqref="C34:E42">
    <cfRule type="expression" dxfId="0" priority="2">
      <formula>$C$34=0</formula>
    </cfRule>
  </conditionalFormatting>
  <dataValidations count="2">
    <dataValidation type="list" allowBlank="1" showInputMessage="1" showErrorMessage="1" sqref="D60:D64 C75:C82" xr:uid="{00000000-0002-0000-0000-000001000000}">
      <formula1>"Y,N"</formula1>
    </dataValidation>
    <dataValidation type="list" allowBlank="1" showInputMessage="1" showErrorMessage="1" sqref="C12:D12" xr:uid="{9D4E47C1-82CC-485F-89A8-4758ACCDC417}">
      <formula1>"Married,Single,Widowed,Divorced,Other"</formula1>
    </dataValidation>
  </dataValidations>
  <pageMargins left="0.70866141732283472" right="0.70866141732283472" top="0.74803149606299213" bottom="0.74803149606299213" header="0.31496062992125984" footer="0.31496062992125984"/>
  <pageSetup paperSize="9" scale="59" orientation="portrait" r:id="rId1"/>
  <headerFooter>
    <oddHeader>&amp;L&amp;"-,Bold"&amp;16PRSA S113 Transfer from an Occupational Pension Scheme (DC)</oddHeader>
    <oddFooter>&amp;L&amp;Z&amp;F&amp;R&amp;D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C3E2CFF8-467A-4103-B411-A3E944A89F85}">
            <xm:f>'Aviva Commission'!$C$1="N"</xm:f>
            <x14:dxf>
              <font>
                <color theme="0"/>
              </font>
              <fill>
                <patternFill patternType="none">
                  <bgColor auto="1"/>
                </patternFill>
              </fill>
              <border>
                <left/>
                <right/>
                <top/>
                <bottom/>
                <vertical/>
                <horizontal/>
              </border>
            </x14:dxf>
          </x14:cfRule>
          <xm:sqref>A24:B24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E69B8C4-4E94-4271-B5E6-A8F8DD956D8C}">
          <x14:formula1>
            <xm:f>Providers!$F$4:$F$36</xm:f>
          </x14:formula1>
          <xm:sqref>B22</xm:sqref>
        </x14:dataValidation>
        <x14:dataValidation type="list" allowBlank="1" showInputMessage="1" showErrorMessage="1" xr:uid="{B55B0490-23B0-4FA2-B481-68BB8AC9EE72}">
          <x14:formula1>
            <xm:f>Providers!$J$3:$V$3</xm:f>
          </x14:formula1>
          <xm:sqref>B21</xm:sqref>
        </x14:dataValidation>
        <x14:dataValidation type="list" allowBlank="1" showInputMessage="1" showErrorMessage="1" xr:uid="{EDB39EAC-FDBE-4A05-A95F-C9D614B27848}">
          <x14:formula1>
            <xm:f>'Aviva Commission'!$B$4:$B$11</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0C4D-56CC-41A6-8ABF-21510C1139CF}">
  <sheetPr codeName="Sheet8"/>
  <dimension ref="A1:X139"/>
  <sheetViews>
    <sheetView workbookViewId="0">
      <selection activeCell="D28" sqref="D28"/>
    </sheetView>
  </sheetViews>
  <sheetFormatPr defaultColWidth="9.109375" defaultRowHeight="14.4" x14ac:dyDescent="0.3"/>
  <cols>
    <col min="1" max="1" width="9.109375" style="5"/>
    <col min="2" max="2" width="52.5546875" style="5" bestFit="1" customWidth="1"/>
    <col min="3" max="3" width="15.109375" style="5" customWidth="1"/>
    <col min="4" max="4" width="30.88671875" style="5" customWidth="1"/>
    <col min="5" max="5" width="10.44140625" style="5" customWidth="1"/>
    <col min="6" max="6" width="65.5546875" style="7" bestFit="1" customWidth="1"/>
    <col min="7" max="7" width="6.5546875" style="7" customWidth="1"/>
    <col min="8" max="8" width="7.44140625" style="7" customWidth="1"/>
    <col min="9" max="9" width="4.88671875" style="9" customWidth="1"/>
    <col min="10" max="10" width="40" style="5" customWidth="1"/>
    <col min="11" max="12" width="36.5546875" style="5" customWidth="1"/>
    <col min="13" max="13" width="43.109375" style="5" customWidth="1"/>
    <col min="14" max="15" width="36.5546875" style="5" customWidth="1"/>
    <col min="16" max="16" width="55" style="5" customWidth="1"/>
    <col min="17" max="17" width="36.5546875" style="5" customWidth="1"/>
    <col min="18" max="18" width="44.33203125" style="5" customWidth="1"/>
    <col min="19" max="19" width="41.5546875" style="5" customWidth="1"/>
    <col min="20" max="24" width="36.5546875" style="5" customWidth="1"/>
    <col min="25" max="16384" width="9.109375" style="5"/>
  </cols>
  <sheetData>
    <row r="1" spans="2:24" ht="15" thickBot="1" x14ac:dyDescent="0.35">
      <c r="F1" s="48">
        <f>'PRSA Transfer Form'!B21</f>
        <v>0</v>
      </c>
      <c r="G1" s="6" t="e">
        <f>MATCH(F1,J3:V3,0)</f>
        <v>#N/A</v>
      </c>
      <c r="I1" s="8"/>
    </row>
    <row r="2" spans="2:24" ht="15" thickBot="1" x14ac:dyDescent="0.35">
      <c r="F2" s="49" cm="1">
        <f t="array" ref="F2:G2">'PRSA Transfer Form'!B22:C22</f>
        <v>0</v>
      </c>
      <c r="G2" s="7">
        <v>0</v>
      </c>
    </row>
    <row r="3" spans="2:24" ht="27" thickBot="1" x14ac:dyDescent="0.3">
      <c r="B3" s="10" t="s">
        <v>48</v>
      </c>
      <c r="C3" s="26" t="s">
        <v>197</v>
      </c>
      <c r="D3" s="26" t="s">
        <v>201</v>
      </c>
      <c r="E3" s="10"/>
      <c r="F3" s="11" t="s">
        <v>49</v>
      </c>
      <c r="G3" s="11"/>
      <c r="H3" s="11"/>
      <c r="I3" s="12"/>
      <c r="J3" s="2" t="s">
        <v>36</v>
      </c>
      <c r="K3" s="3" t="s">
        <v>37</v>
      </c>
      <c r="L3" s="3" t="s">
        <v>38</v>
      </c>
      <c r="M3" s="3" t="s">
        <v>229</v>
      </c>
      <c r="N3" s="3" t="s">
        <v>39</v>
      </c>
      <c r="O3" s="3" t="s">
        <v>40</v>
      </c>
      <c r="P3" s="3" t="s">
        <v>41</v>
      </c>
      <c r="Q3" s="3" t="s">
        <v>42</v>
      </c>
      <c r="R3" s="3" t="s">
        <v>43</v>
      </c>
      <c r="S3" s="3" t="s">
        <v>44</v>
      </c>
      <c r="T3" s="3" t="s">
        <v>45</v>
      </c>
      <c r="U3" s="3" t="s">
        <v>46</v>
      </c>
      <c r="V3" s="4" t="s">
        <v>47</v>
      </c>
      <c r="X3" s="10" t="s">
        <v>248</v>
      </c>
    </row>
    <row r="4" spans="2:24" x14ac:dyDescent="0.3">
      <c r="B4" s="46" t="s">
        <v>36</v>
      </c>
      <c r="C4" s="25" t="s">
        <v>198</v>
      </c>
      <c r="D4" s="25" t="s">
        <v>240</v>
      </c>
      <c r="E4" s="13"/>
      <c r="F4" s="7" t="e">
        <f ca="1">OFFSET($I$3,ROW(G4)-ROW($G$4)+1,$G$1)</f>
        <v>#N/A</v>
      </c>
      <c r="J4" s="5" t="s">
        <v>74</v>
      </c>
      <c r="K4" s="5" t="s">
        <v>79</v>
      </c>
      <c r="L4" s="5" t="s">
        <v>310</v>
      </c>
      <c r="M4" s="13" t="s">
        <v>184</v>
      </c>
      <c r="N4" s="13" t="s">
        <v>189</v>
      </c>
      <c r="O4" s="5" t="s">
        <v>50</v>
      </c>
      <c r="P4" s="5" t="s">
        <v>101</v>
      </c>
      <c r="Q4" s="5" t="s">
        <v>51</v>
      </c>
      <c r="R4" s="5" t="s">
        <v>55</v>
      </c>
      <c r="S4" s="5" t="s">
        <v>52</v>
      </c>
      <c r="T4" t="s">
        <v>131</v>
      </c>
      <c r="U4" s="5" t="s">
        <v>165</v>
      </c>
      <c r="V4" s="5" t="s">
        <v>136</v>
      </c>
      <c r="X4" s="5" t="s">
        <v>83</v>
      </c>
    </row>
    <row r="5" spans="2:24" x14ac:dyDescent="0.3">
      <c r="B5" s="46" t="s">
        <v>37</v>
      </c>
      <c r="C5" s="45" t="s">
        <v>199</v>
      </c>
      <c r="D5" s="45"/>
      <c r="F5" s="7" t="e">
        <f t="shared" ref="F5:F68" ca="1" si="0">OFFSET($I$3,ROW(G5)-ROW($G$4)+1,$G$1)</f>
        <v>#N/A</v>
      </c>
      <c r="J5" s="5" t="s">
        <v>75</v>
      </c>
      <c r="K5" s="5" t="s">
        <v>80</v>
      </c>
      <c r="L5" s="5" t="s">
        <v>312</v>
      </c>
      <c r="M5" s="13" t="s">
        <v>185</v>
      </c>
      <c r="N5" s="5" t="s">
        <v>291</v>
      </c>
      <c r="O5" s="5" t="s">
        <v>53</v>
      </c>
      <c r="P5" s="5" t="s">
        <v>102</v>
      </c>
      <c r="R5" s="5" t="s">
        <v>56</v>
      </c>
      <c r="T5" t="s">
        <v>132</v>
      </c>
      <c r="U5" s="5" t="s">
        <v>166</v>
      </c>
      <c r="V5" s="5" t="s">
        <v>137</v>
      </c>
      <c r="X5" s="5" t="s">
        <v>84</v>
      </c>
    </row>
    <row r="6" spans="2:24" x14ac:dyDescent="0.3">
      <c r="B6" s="46" t="s">
        <v>38</v>
      </c>
      <c r="C6" s="25" t="s">
        <v>198</v>
      </c>
      <c r="D6" s="25" t="s">
        <v>240</v>
      </c>
      <c r="E6" s="13"/>
      <c r="F6" s="7" t="e">
        <f t="shared" ca="1" si="0"/>
        <v>#N/A</v>
      </c>
      <c r="J6" s="5" t="s">
        <v>76</v>
      </c>
      <c r="K6" s="5" t="s">
        <v>81</v>
      </c>
      <c r="L6" s="5" t="s">
        <v>311</v>
      </c>
      <c r="M6" s="13" t="s">
        <v>186</v>
      </c>
      <c r="N6" s="5" t="s">
        <v>293</v>
      </c>
      <c r="O6" s="5" t="s">
        <v>54</v>
      </c>
      <c r="P6" s="5" t="s">
        <v>103</v>
      </c>
      <c r="R6" s="5" t="s">
        <v>57</v>
      </c>
      <c r="T6" t="s">
        <v>133</v>
      </c>
      <c r="U6" s="5" t="s">
        <v>167</v>
      </c>
      <c r="V6" s="5" t="s">
        <v>138</v>
      </c>
      <c r="X6" s="5" t="s">
        <v>85</v>
      </c>
    </row>
    <row r="7" spans="2:24" x14ac:dyDescent="0.3">
      <c r="B7" s="46" t="s">
        <v>229</v>
      </c>
      <c r="C7" s="25" t="s">
        <v>198</v>
      </c>
      <c r="D7" s="25" t="s">
        <v>240</v>
      </c>
      <c r="F7" s="7" t="e">
        <f t="shared" ca="1" si="0"/>
        <v>#N/A</v>
      </c>
      <c r="J7" s="5" t="s">
        <v>77</v>
      </c>
      <c r="K7" s="5" t="s">
        <v>82</v>
      </c>
      <c r="L7" s="5" t="s">
        <v>313</v>
      </c>
      <c r="M7" s="13" t="s">
        <v>187</v>
      </c>
      <c r="N7" s="13" t="s">
        <v>190</v>
      </c>
      <c r="O7" s="13" t="s">
        <v>181</v>
      </c>
      <c r="P7" s="5" t="s">
        <v>104</v>
      </c>
      <c r="R7" s="5" t="s">
        <v>58</v>
      </c>
      <c r="T7" t="s">
        <v>134</v>
      </c>
      <c r="U7" s="5" t="s">
        <v>168</v>
      </c>
      <c r="V7" s="5" t="s">
        <v>139</v>
      </c>
      <c r="X7" s="5" t="s">
        <v>86</v>
      </c>
    </row>
    <row r="8" spans="2:24" x14ac:dyDescent="0.3">
      <c r="B8" s="46" t="s">
        <v>39</v>
      </c>
      <c r="C8" s="25" t="s">
        <v>198</v>
      </c>
      <c r="D8" s="25" t="s">
        <v>240</v>
      </c>
      <c r="F8" s="7" t="e">
        <f t="shared" ca="1" si="0"/>
        <v>#N/A</v>
      </c>
      <c r="J8" s="5" t="s">
        <v>78</v>
      </c>
      <c r="K8" t="s">
        <v>242</v>
      </c>
      <c r="L8" s="5" t="s">
        <v>314</v>
      </c>
      <c r="M8" s="13" t="s">
        <v>188</v>
      </c>
      <c r="O8" s="13" t="s">
        <v>182</v>
      </c>
      <c r="P8" s="5" t="s">
        <v>105</v>
      </c>
      <c r="R8" s="5" t="s">
        <v>59</v>
      </c>
      <c r="T8" t="s">
        <v>135</v>
      </c>
      <c r="U8" s="5" t="s">
        <v>169</v>
      </c>
      <c r="V8" s="5" t="s">
        <v>140</v>
      </c>
      <c r="X8" s="5" t="s">
        <v>87</v>
      </c>
    </row>
    <row r="9" spans="2:24" x14ac:dyDescent="0.3">
      <c r="B9" s="46" t="s">
        <v>40</v>
      </c>
      <c r="C9" s="25" t="s">
        <v>198</v>
      </c>
      <c r="D9" s="25" t="s">
        <v>240</v>
      </c>
      <c r="E9" s="13"/>
      <c r="F9" s="7" t="e">
        <f t="shared" ca="1" si="0"/>
        <v>#N/A</v>
      </c>
      <c r="K9" t="s">
        <v>243</v>
      </c>
      <c r="L9" s="5" t="s">
        <v>315</v>
      </c>
      <c r="O9" s="13" t="s">
        <v>183</v>
      </c>
      <c r="P9" s="5" t="s">
        <v>299</v>
      </c>
      <c r="R9" s="5" t="s">
        <v>60</v>
      </c>
      <c r="U9" s="5" t="s">
        <v>170</v>
      </c>
      <c r="V9" s="5" t="s">
        <v>141</v>
      </c>
      <c r="X9" s="5" t="s">
        <v>88</v>
      </c>
    </row>
    <row r="10" spans="2:24" x14ac:dyDescent="0.3">
      <c r="B10" s="46" t="s">
        <v>41</v>
      </c>
      <c r="C10" s="45" t="s">
        <v>199</v>
      </c>
      <c r="D10" s="45"/>
      <c r="F10" s="7" t="e">
        <f t="shared" ca="1" si="0"/>
        <v>#N/A</v>
      </c>
      <c r="K10" t="s">
        <v>244</v>
      </c>
      <c r="L10" s="5" t="s">
        <v>309</v>
      </c>
      <c r="P10" s="5" t="s">
        <v>106</v>
      </c>
      <c r="R10" s="5" t="s">
        <v>61</v>
      </c>
      <c r="U10" s="5" t="s">
        <v>171</v>
      </c>
      <c r="V10" s="5" t="s">
        <v>142</v>
      </c>
      <c r="X10" s="5" t="s">
        <v>89</v>
      </c>
    </row>
    <row r="11" spans="2:24" x14ac:dyDescent="0.3">
      <c r="B11" s="46" t="s">
        <v>42</v>
      </c>
      <c r="C11" s="25" t="s">
        <v>198</v>
      </c>
      <c r="D11" s="25" t="s">
        <v>240</v>
      </c>
      <c r="E11" s="13"/>
      <c r="F11" s="7" t="e">
        <f t="shared" ca="1" si="0"/>
        <v>#N/A</v>
      </c>
      <c r="K11" t="s">
        <v>245</v>
      </c>
      <c r="P11" s="5" t="s">
        <v>107</v>
      </c>
      <c r="R11" s="5" t="s">
        <v>62</v>
      </c>
      <c r="U11" s="5" t="s">
        <v>172</v>
      </c>
      <c r="V11" s="5" t="s">
        <v>143</v>
      </c>
      <c r="X11" s="5" t="s">
        <v>90</v>
      </c>
    </row>
    <row r="12" spans="2:24" x14ac:dyDescent="0.3">
      <c r="B12" s="46" t="s">
        <v>43</v>
      </c>
      <c r="C12" s="45" t="s">
        <v>199</v>
      </c>
      <c r="D12" s="45"/>
      <c r="E12" s="13"/>
      <c r="F12" s="7" t="e">
        <f t="shared" ca="1" si="0"/>
        <v>#N/A</v>
      </c>
      <c r="K12" t="s">
        <v>246</v>
      </c>
      <c r="P12" s="5" t="s">
        <v>108</v>
      </c>
      <c r="R12" s="5" t="s">
        <v>63</v>
      </c>
      <c r="U12" s="5" t="s">
        <v>173</v>
      </c>
      <c r="V12" s="5" t="s">
        <v>144</v>
      </c>
      <c r="X12" s="5" t="s">
        <v>91</v>
      </c>
    </row>
    <row r="13" spans="2:24" x14ac:dyDescent="0.3">
      <c r="B13" s="46" t="s">
        <v>44</v>
      </c>
      <c r="C13" s="25" t="s">
        <v>198</v>
      </c>
      <c r="D13" s="25" t="s">
        <v>240</v>
      </c>
      <c r="E13" s="13"/>
      <c r="F13" s="7" t="e">
        <f t="shared" ca="1" si="0"/>
        <v>#N/A</v>
      </c>
      <c r="K13" t="s">
        <v>247</v>
      </c>
      <c r="P13" s="5" t="s">
        <v>109</v>
      </c>
      <c r="R13" s="5" t="s">
        <v>64</v>
      </c>
      <c r="U13" s="5" t="s">
        <v>174</v>
      </c>
      <c r="V13" s="5" t="s">
        <v>145</v>
      </c>
      <c r="X13" s="5" t="s">
        <v>92</v>
      </c>
    </row>
    <row r="14" spans="2:24" x14ac:dyDescent="0.3">
      <c r="B14" s="46" t="s">
        <v>45</v>
      </c>
      <c r="C14" s="45" t="s">
        <v>199</v>
      </c>
      <c r="D14" s="45"/>
      <c r="F14" s="7" t="e">
        <f t="shared" ca="1" si="0"/>
        <v>#N/A</v>
      </c>
      <c r="P14" s="5" t="s">
        <v>110</v>
      </c>
      <c r="R14" s="5" t="s">
        <v>65</v>
      </c>
      <c r="U14" s="5" t="s">
        <v>175</v>
      </c>
      <c r="V14" s="5" t="s">
        <v>146</v>
      </c>
      <c r="X14" s="5" t="s">
        <v>93</v>
      </c>
    </row>
    <row r="15" spans="2:24" x14ac:dyDescent="0.3">
      <c r="B15" s="46" t="s">
        <v>46</v>
      </c>
      <c r="C15" s="45" t="s">
        <v>199</v>
      </c>
      <c r="D15" s="45"/>
      <c r="F15" s="7" t="e">
        <f t="shared" ca="1" si="0"/>
        <v>#N/A</v>
      </c>
      <c r="P15" s="5" t="s">
        <v>111</v>
      </c>
      <c r="R15" s="5" t="s">
        <v>66</v>
      </c>
      <c r="U15" s="5" t="s">
        <v>176</v>
      </c>
      <c r="V15" s="5" t="s">
        <v>147</v>
      </c>
      <c r="X15" s="5" t="s">
        <v>94</v>
      </c>
    </row>
    <row r="16" spans="2:24" x14ac:dyDescent="0.3">
      <c r="B16" s="46" t="s">
        <v>47</v>
      </c>
      <c r="C16" s="45" t="s">
        <v>199</v>
      </c>
      <c r="D16" s="45"/>
      <c r="F16" s="7" t="e">
        <f t="shared" ca="1" si="0"/>
        <v>#N/A</v>
      </c>
      <c r="P16" s="5" t="s">
        <v>112</v>
      </c>
      <c r="R16" s="5" t="s">
        <v>67</v>
      </c>
      <c r="U16" s="5" t="s">
        <v>177</v>
      </c>
      <c r="V16" s="5" t="s">
        <v>148</v>
      </c>
      <c r="X16" s="5" t="s">
        <v>95</v>
      </c>
    </row>
    <row r="17" spans="1:24" x14ac:dyDescent="0.3">
      <c r="F17" s="7" t="e">
        <f t="shared" ca="1" si="0"/>
        <v>#N/A</v>
      </c>
      <c r="P17" s="5" t="s">
        <v>113</v>
      </c>
      <c r="R17" s="5" t="s">
        <v>68</v>
      </c>
      <c r="U17" s="5" t="s">
        <v>178</v>
      </c>
      <c r="V17" s="5" t="s">
        <v>149</v>
      </c>
      <c r="X17" s="5" t="s">
        <v>96</v>
      </c>
    </row>
    <row r="18" spans="1:24" ht="15" thickBot="1" x14ac:dyDescent="0.35">
      <c r="F18" s="7" t="e">
        <f t="shared" ca="1" si="0"/>
        <v>#N/A</v>
      </c>
      <c r="P18" s="5" t="s">
        <v>114</v>
      </c>
      <c r="R18" s="5" t="s">
        <v>69</v>
      </c>
      <c r="U18" s="5" t="s">
        <v>179</v>
      </c>
      <c r="V18" s="5" t="s">
        <v>150</v>
      </c>
      <c r="X18" s="5" t="s">
        <v>97</v>
      </c>
    </row>
    <row r="19" spans="1:24" ht="15" thickBot="1" x14ac:dyDescent="0.35">
      <c r="B19" s="27" t="s">
        <v>200</v>
      </c>
      <c r="C19" s="28" t="str">
        <f>IFERROR(VLOOKUP($F$1,$B$4:$C$16,2,0),"")</f>
        <v/>
      </c>
      <c r="D19" s="117" t="str">
        <f>IFERROR(VLOOKUP($F$1,$B$4:$D$16,3,0),"")</f>
        <v/>
      </c>
      <c r="F19" s="7" t="e">
        <f t="shared" ca="1" si="0"/>
        <v>#N/A</v>
      </c>
      <c r="P19" s="5" t="s">
        <v>115</v>
      </c>
      <c r="R19" s="5" t="s">
        <v>70</v>
      </c>
      <c r="U19" s="5" t="s">
        <v>180</v>
      </c>
      <c r="V19" s="5" t="s">
        <v>151</v>
      </c>
      <c r="X19" s="5" t="s">
        <v>98</v>
      </c>
    </row>
    <row r="20" spans="1:24" x14ac:dyDescent="0.3">
      <c r="F20" s="7" t="e">
        <f t="shared" ca="1" si="0"/>
        <v>#N/A</v>
      </c>
      <c r="P20" s="5" t="s">
        <v>116</v>
      </c>
      <c r="R20" s="5" t="s">
        <v>71</v>
      </c>
      <c r="V20" s="5" t="s">
        <v>152</v>
      </c>
      <c r="X20" s="5" t="s">
        <v>99</v>
      </c>
    </row>
    <row r="21" spans="1:24" x14ac:dyDescent="0.3">
      <c r="A21" s="47">
        <v>5</v>
      </c>
      <c r="B21" s="46" t="s">
        <v>219</v>
      </c>
      <c r="C21" s="50" t="str">
        <f>IF(IFERROR(VLOOKUP($F$2,AMC!$B:$H,A21,0),"")=0,"",IFERROR(VLOOKUP($F$2,AMC!$B:$H,A21,0),""))</f>
        <v/>
      </c>
      <c r="F21" s="7" t="e">
        <f t="shared" ca="1" si="0"/>
        <v>#N/A</v>
      </c>
      <c r="P21" s="5" t="s">
        <v>117</v>
      </c>
      <c r="R21" s="5" t="s">
        <v>72</v>
      </c>
      <c r="V21" s="5" t="s">
        <v>153</v>
      </c>
      <c r="X21" s="5" t="s">
        <v>100</v>
      </c>
    </row>
    <row r="22" spans="1:24" x14ac:dyDescent="0.3">
      <c r="A22" s="47">
        <f>A21+1</f>
        <v>6</v>
      </c>
      <c r="B22" s="46" t="s">
        <v>220</v>
      </c>
      <c r="C22" s="50" t="str">
        <f>IF(IFERROR(VLOOKUP($F$2,AMC!$B:$H,A22,0),"")=0,"",IFERROR(VLOOKUP($F$2,AMC!$B:$H,A22,0),""))</f>
        <v/>
      </c>
      <c r="F22" s="7" t="e">
        <f t="shared" ca="1" si="0"/>
        <v>#N/A</v>
      </c>
      <c r="P22" s="5" t="s">
        <v>118</v>
      </c>
      <c r="R22" s="5" t="s">
        <v>73</v>
      </c>
      <c r="V22" s="5" t="s">
        <v>154</v>
      </c>
    </row>
    <row r="23" spans="1:24" x14ac:dyDescent="0.3">
      <c r="A23" s="47">
        <f t="shared" ref="A23:A24" si="1">A22+1</f>
        <v>7</v>
      </c>
      <c r="B23" s="46" t="s">
        <v>221</v>
      </c>
      <c r="C23" s="50" t="str">
        <f>IF(IFERROR(VLOOKUP($F$2,AMC!$B:$H,A23,0),"")=0,"",IFERROR(VLOOKUP($F$2,AMC!$B:$H,A23,0),""))</f>
        <v/>
      </c>
      <c r="F23" s="7" t="e">
        <f t="shared" ca="1" si="0"/>
        <v>#N/A</v>
      </c>
      <c r="P23" s="5" t="s">
        <v>119</v>
      </c>
      <c r="V23" s="5" t="s">
        <v>155</v>
      </c>
    </row>
    <row r="24" spans="1:24" x14ac:dyDescent="0.3">
      <c r="A24" s="47">
        <f t="shared" si="1"/>
        <v>8</v>
      </c>
      <c r="B24" s="46" t="s">
        <v>222</v>
      </c>
      <c r="C24" s="50" t="str">
        <f>IF(IFERROR(VLOOKUP($F$2,AMC!$B:$H,A24,0),"")=0,"",IFERROR(VLOOKUP($F$2,AMC!$B:$H,A24,0),""))</f>
        <v/>
      </c>
      <c r="F24" s="7" t="e">
        <f t="shared" ca="1" si="0"/>
        <v>#N/A</v>
      </c>
      <c r="P24" s="5" t="s">
        <v>304</v>
      </c>
      <c r="V24" s="5" t="s">
        <v>156</v>
      </c>
    </row>
    <row r="25" spans="1:24" x14ac:dyDescent="0.3">
      <c r="F25" s="7" t="e">
        <f t="shared" ca="1" si="0"/>
        <v>#N/A</v>
      </c>
      <c r="P25" s="5" t="s">
        <v>120</v>
      </c>
      <c r="V25" s="5" t="s">
        <v>157</v>
      </c>
    </row>
    <row r="26" spans="1:24" x14ac:dyDescent="0.3">
      <c r="F26" s="7" t="e">
        <f t="shared" ca="1" si="0"/>
        <v>#N/A</v>
      </c>
      <c r="K26"/>
      <c r="P26" s="5" t="s">
        <v>121</v>
      </c>
      <c r="V26" s="5" t="s">
        <v>158</v>
      </c>
    </row>
    <row r="27" spans="1:24" x14ac:dyDescent="0.3">
      <c r="F27" s="7" t="e">
        <f t="shared" ca="1" si="0"/>
        <v>#N/A</v>
      </c>
      <c r="K27"/>
      <c r="P27" s="5" t="s">
        <v>122</v>
      </c>
      <c r="V27" s="5" t="s">
        <v>159</v>
      </c>
    </row>
    <row r="28" spans="1:24" x14ac:dyDescent="0.3">
      <c r="F28" s="7" t="e">
        <f t="shared" ca="1" si="0"/>
        <v>#N/A</v>
      </c>
      <c r="K28"/>
      <c r="P28" s="5" t="s">
        <v>123</v>
      </c>
      <c r="V28" s="5" t="s">
        <v>160</v>
      </c>
    </row>
    <row r="29" spans="1:24" x14ac:dyDescent="0.3">
      <c r="F29" s="7" t="e">
        <f t="shared" ca="1" si="0"/>
        <v>#N/A</v>
      </c>
      <c r="K29"/>
      <c r="P29" s="5" t="s">
        <v>124</v>
      </c>
      <c r="V29" s="5" t="s">
        <v>161</v>
      </c>
    </row>
    <row r="30" spans="1:24" x14ac:dyDescent="0.3">
      <c r="F30" s="7" t="e">
        <f t="shared" ca="1" si="0"/>
        <v>#N/A</v>
      </c>
      <c r="K30"/>
      <c r="P30" s="5" t="s">
        <v>125</v>
      </c>
      <c r="V30" s="5" t="s">
        <v>162</v>
      </c>
    </row>
    <row r="31" spans="1:24" x14ac:dyDescent="0.3">
      <c r="F31" s="7" t="e">
        <f t="shared" ca="1" si="0"/>
        <v>#N/A</v>
      </c>
      <c r="K31"/>
      <c r="P31" s="5" t="s">
        <v>126</v>
      </c>
      <c r="V31" s="5" t="s">
        <v>163</v>
      </c>
    </row>
    <row r="32" spans="1:24" x14ac:dyDescent="0.3">
      <c r="F32" s="7" t="e">
        <f t="shared" ca="1" si="0"/>
        <v>#N/A</v>
      </c>
      <c r="P32" s="5" t="s">
        <v>127</v>
      </c>
      <c r="V32" s="5" t="s">
        <v>164</v>
      </c>
    </row>
    <row r="33" spans="6:16" x14ac:dyDescent="0.3">
      <c r="F33" s="7" t="e">
        <f t="shared" ca="1" si="0"/>
        <v>#N/A</v>
      </c>
      <c r="P33" s="5" t="s">
        <v>128</v>
      </c>
    </row>
    <row r="34" spans="6:16" x14ac:dyDescent="0.3">
      <c r="F34" s="7" t="e">
        <f t="shared" ca="1" si="0"/>
        <v>#N/A</v>
      </c>
      <c r="P34" s="5" t="s">
        <v>129</v>
      </c>
    </row>
    <row r="35" spans="6:16" x14ac:dyDescent="0.3">
      <c r="F35" s="7" t="e">
        <f t="shared" ca="1" si="0"/>
        <v>#N/A</v>
      </c>
      <c r="P35" s="5" t="s">
        <v>130</v>
      </c>
    </row>
    <row r="36" spans="6:16" x14ac:dyDescent="0.3">
      <c r="F36" s="7" t="e">
        <f t="shared" ca="1" si="0"/>
        <v>#N/A</v>
      </c>
    </row>
    <row r="37" spans="6:16" x14ac:dyDescent="0.3">
      <c r="F37" s="7" t="e">
        <f t="shared" ca="1" si="0"/>
        <v>#N/A</v>
      </c>
    </row>
    <row r="38" spans="6:16" x14ac:dyDescent="0.3">
      <c r="F38" s="7" t="e">
        <f t="shared" ca="1" si="0"/>
        <v>#N/A</v>
      </c>
    </row>
    <row r="39" spans="6:16" x14ac:dyDescent="0.3">
      <c r="F39" s="7" t="e">
        <f t="shared" ca="1" si="0"/>
        <v>#N/A</v>
      </c>
    </row>
    <row r="40" spans="6:16" x14ac:dyDescent="0.3">
      <c r="F40" s="7" t="e">
        <f t="shared" ca="1" si="0"/>
        <v>#N/A</v>
      </c>
    </row>
    <row r="41" spans="6:16" x14ac:dyDescent="0.3">
      <c r="F41" s="7" t="e">
        <f t="shared" ca="1" si="0"/>
        <v>#N/A</v>
      </c>
    </row>
    <row r="42" spans="6:16" x14ac:dyDescent="0.3">
      <c r="F42" s="7" t="e">
        <f t="shared" ca="1" si="0"/>
        <v>#N/A</v>
      </c>
    </row>
    <row r="43" spans="6:16" x14ac:dyDescent="0.3">
      <c r="F43" s="7" t="e">
        <f t="shared" ca="1" si="0"/>
        <v>#N/A</v>
      </c>
    </row>
    <row r="44" spans="6:16" x14ac:dyDescent="0.3">
      <c r="F44" s="7" t="e">
        <f t="shared" ca="1" si="0"/>
        <v>#N/A</v>
      </c>
    </row>
    <row r="45" spans="6:16" x14ac:dyDescent="0.3">
      <c r="F45" s="7" t="e">
        <f t="shared" ca="1" si="0"/>
        <v>#N/A</v>
      </c>
    </row>
    <row r="46" spans="6:16" x14ac:dyDescent="0.3">
      <c r="F46" s="7" t="e">
        <f t="shared" ca="1" si="0"/>
        <v>#N/A</v>
      </c>
    </row>
    <row r="47" spans="6:16" x14ac:dyDescent="0.3">
      <c r="F47" s="7" t="e">
        <f t="shared" ca="1" si="0"/>
        <v>#N/A</v>
      </c>
    </row>
    <row r="48" spans="6:16" x14ac:dyDescent="0.3">
      <c r="F48" s="7" t="e">
        <f t="shared" ca="1" si="0"/>
        <v>#N/A</v>
      </c>
    </row>
    <row r="49" spans="6:6" x14ac:dyDescent="0.3">
      <c r="F49" s="7" t="e">
        <f t="shared" ca="1" si="0"/>
        <v>#N/A</v>
      </c>
    </row>
    <row r="50" spans="6:6" x14ac:dyDescent="0.3">
      <c r="F50" s="7" t="e">
        <f t="shared" ca="1" si="0"/>
        <v>#N/A</v>
      </c>
    </row>
    <row r="51" spans="6:6" x14ac:dyDescent="0.3">
      <c r="F51" s="7" t="e">
        <f t="shared" ca="1" si="0"/>
        <v>#N/A</v>
      </c>
    </row>
    <row r="52" spans="6:6" x14ac:dyDescent="0.3">
      <c r="F52" s="7" t="e">
        <f t="shared" ca="1" si="0"/>
        <v>#N/A</v>
      </c>
    </row>
    <row r="53" spans="6:6" x14ac:dyDescent="0.3">
      <c r="F53" s="7" t="e">
        <f t="shared" ca="1" si="0"/>
        <v>#N/A</v>
      </c>
    </row>
    <row r="54" spans="6:6" x14ac:dyDescent="0.3">
      <c r="F54" s="7" t="e">
        <f t="shared" ca="1" si="0"/>
        <v>#N/A</v>
      </c>
    </row>
    <row r="55" spans="6:6" x14ac:dyDescent="0.3">
      <c r="F55" s="7" t="e">
        <f t="shared" ca="1" si="0"/>
        <v>#N/A</v>
      </c>
    </row>
    <row r="56" spans="6:6" x14ac:dyDescent="0.3">
      <c r="F56" s="7" t="e">
        <f t="shared" ca="1" si="0"/>
        <v>#N/A</v>
      </c>
    </row>
    <row r="57" spans="6:6" x14ac:dyDescent="0.3">
      <c r="F57" s="7" t="e">
        <f t="shared" ca="1" si="0"/>
        <v>#N/A</v>
      </c>
    </row>
    <row r="58" spans="6:6" x14ac:dyDescent="0.3">
      <c r="F58" s="7" t="e">
        <f t="shared" ca="1" si="0"/>
        <v>#N/A</v>
      </c>
    </row>
    <row r="59" spans="6:6" x14ac:dyDescent="0.3">
      <c r="F59" s="7" t="e">
        <f t="shared" ca="1" si="0"/>
        <v>#N/A</v>
      </c>
    </row>
    <row r="60" spans="6:6" x14ac:dyDescent="0.3">
      <c r="F60" s="7" t="e">
        <f t="shared" ca="1" si="0"/>
        <v>#N/A</v>
      </c>
    </row>
    <row r="61" spans="6:6" x14ac:dyDescent="0.3">
      <c r="F61" s="7" t="e">
        <f t="shared" ca="1" si="0"/>
        <v>#N/A</v>
      </c>
    </row>
    <row r="62" spans="6:6" x14ac:dyDescent="0.3">
      <c r="F62" s="7" t="e">
        <f t="shared" ca="1" si="0"/>
        <v>#N/A</v>
      </c>
    </row>
    <row r="63" spans="6:6" x14ac:dyDescent="0.3">
      <c r="F63" s="7" t="e">
        <f t="shared" ca="1" si="0"/>
        <v>#N/A</v>
      </c>
    </row>
    <row r="64" spans="6:6" x14ac:dyDescent="0.3">
      <c r="F64" s="7" t="e">
        <f t="shared" ca="1" si="0"/>
        <v>#N/A</v>
      </c>
    </row>
    <row r="65" spans="6:6" x14ac:dyDescent="0.3">
      <c r="F65" s="7" t="e">
        <f t="shared" ca="1" si="0"/>
        <v>#N/A</v>
      </c>
    </row>
    <row r="66" spans="6:6" x14ac:dyDescent="0.3">
      <c r="F66" s="7" t="e">
        <f t="shared" ca="1" si="0"/>
        <v>#N/A</v>
      </c>
    </row>
    <row r="67" spans="6:6" x14ac:dyDescent="0.3">
      <c r="F67" s="7" t="e">
        <f t="shared" ca="1" si="0"/>
        <v>#N/A</v>
      </c>
    </row>
    <row r="68" spans="6:6" x14ac:dyDescent="0.3">
      <c r="F68" s="7" t="e">
        <f t="shared" ca="1" si="0"/>
        <v>#N/A</v>
      </c>
    </row>
    <row r="69" spans="6:6" x14ac:dyDescent="0.3">
      <c r="F69" s="7" t="e">
        <f t="shared" ref="F69:F132" ca="1" si="2">OFFSET($I$3,ROW(G69)-ROW($G$4)+1,$G$1)</f>
        <v>#N/A</v>
      </c>
    </row>
    <row r="70" spans="6:6" x14ac:dyDescent="0.3">
      <c r="F70" s="7" t="e">
        <f t="shared" ca="1" si="2"/>
        <v>#N/A</v>
      </c>
    </row>
    <row r="71" spans="6:6" x14ac:dyDescent="0.3">
      <c r="F71" s="7" t="e">
        <f t="shared" ca="1" si="2"/>
        <v>#N/A</v>
      </c>
    </row>
    <row r="72" spans="6:6" x14ac:dyDescent="0.3">
      <c r="F72" s="7" t="e">
        <f t="shared" ca="1" si="2"/>
        <v>#N/A</v>
      </c>
    </row>
    <row r="73" spans="6:6" x14ac:dyDescent="0.3">
      <c r="F73" s="7" t="e">
        <f t="shared" ca="1" si="2"/>
        <v>#N/A</v>
      </c>
    </row>
    <row r="74" spans="6:6" x14ac:dyDescent="0.3">
      <c r="F74" s="7" t="e">
        <f t="shared" ca="1" si="2"/>
        <v>#N/A</v>
      </c>
    </row>
    <row r="75" spans="6:6" x14ac:dyDescent="0.3">
      <c r="F75" s="7" t="e">
        <f t="shared" ca="1" si="2"/>
        <v>#N/A</v>
      </c>
    </row>
    <row r="76" spans="6:6" x14ac:dyDescent="0.3">
      <c r="F76" s="7" t="e">
        <f t="shared" ca="1" si="2"/>
        <v>#N/A</v>
      </c>
    </row>
    <row r="77" spans="6:6" x14ac:dyDescent="0.3">
      <c r="F77" s="7" t="e">
        <f t="shared" ca="1" si="2"/>
        <v>#N/A</v>
      </c>
    </row>
    <row r="78" spans="6:6" x14ac:dyDescent="0.3">
      <c r="F78" s="7" t="e">
        <f t="shared" ca="1" si="2"/>
        <v>#N/A</v>
      </c>
    </row>
    <row r="79" spans="6:6" x14ac:dyDescent="0.3">
      <c r="F79" s="7" t="e">
        <f t="shared" ca="1" si="2"/>
        <v>#N/A</v>
      </c>
    </row>
    <row r="80" spans="6:6" x14ac:dyDescent="0.3">
      <c r="F80" s="7" t="e">
        <f t="shared" ca="1" si="2"/>
        <v>#N/A</v>
      </c>
    </row>
    <row r="81" spans="6:6" x14ac:dyDescent="0.3">
      <c r="F81" s="7" t="e">
        <f t="shared" ca="1" si="2"/>
        <v>#N/A</v>
      </c>
    </row>
    <row r="82" spans="6:6" x14ac:dyDescent="0.3">
      <c r="F82" s="7" t="e">
        <f t="shared" ca="1" si="2"/>
        <v>#N/A</v>
      </c>
    </row>
    <row r="83" spans="6:6" x14ac:dyDescent="0.3">
      <c r="F83" s="7" t="e">
        <f t="shared" ca="1" si="2"/>
        <v>#N/A</v>
      </c>
    </row>
    <row r="84" spans="6:6" x14ac:dyDescent="0.3">
      <c r="F84" s="7" t="e">
        <f t="shared" ca="1" si="2"/>
        <v>#N/A</v>
      </c>
    </row>
    <row r="85" spans="6:6" x14ac:dyDescent="0.3">
      <c r="F85" s="7" t="e">
        <f t="shared" ca="1" si="2"/>
        <v>#N/A</v>
      </c>
    </row>
    <row r="86" spans="6:6" x14ac:dyDescent="0.3">
      <c r="F86" s="7" t="e">
        <f t="shared" ca="1" si="2"/>
        <v>#N/A</v>
      </c>
    </row>
    <row r="87" spans="6:6" x14ac:dyDescent="0.3">
      <c r="F87" s="7" t="e">
        <f t="shared" ca="1" si="2"/>
        <v>#N/A</v>
      </c>
    </row>
    <row r="88" spans="6:6" x14ac:dyDescent="0.3">
      <c r="F88" s="7" t="e">
        <f t="shared" ca="1" si="2"/>
        <v>#N/A</v>
      </c>
    </row>
    <row r="89" spans="6:6" x14ac:dyDescent="0.3">
      <c r="F89" s="7" t="e">
        <f t="shared" ca="1" si="2"/>
        <v>#N/A</v>
      </c>
    </row>
    <row r="90" spans="6:6" x14ac:dyDescent="0.3">
      <c r="F90" s="7" t="e">
        <f t="shared" ca="1" si="2"/>
        <v>#N/A</v>
      </c>
    </row>
    <row r="91" spans="6:6" x14ac:dyDescent="0.3">
      <c r="F91" s="7" t="e">
        <f t="shared" ca="1" si="2"/>
        <v>#N/A</v>
      </c>
    </row>
    <row r="92" spans="6:6" x14ac:dyDescent="0.3">
      <c r="F92" s="7" t="e">
        <f t="shared" ca="1" si="2"/>
        <v>#N/A</v>
      </c>
    </row>
    <row r="93" spans="6:6" x14ac:dyDescent="0.3">
      <c r="F93" s="7" t="e">
        <f t="shared" ca="1" si="2"/>
        <v>#N/A</v>
      </c>
    </row>
    <row r="94" spans="6:6" x14ac:dyDescent="0.3">
      <c r="F94" s="7" t="e">
        <f t="shared" ca="1" si="2"/>
        <v>#N/A</v>
      </c>
    </row>
    <row r="95" spans="6:6" x14ac:dyDescent="0.3">
      <c r="F95" s="7" t="e">
        <f t="shared" ca="1" si="2"/>
        <v>#N/A</v>
      </c>
    </row>
    <row r="96" spans="6:6" x14ac:dyDescent="0.3">
      <c r="F96" s="7" t="e">
        <f t="shared" ca="1" si="2"/>
        <v>#N/A</v>
      </c>
    </row>
    <row r="97" spans="6:6" x14ac:dyDescent="0.3">
      <c r="F97" s="7" t="e">
        <f t="shared" ca="1" si="2"/>
        <v>#N/A</v>
      </c>
    </row>
    <row r="98" spans="6:6" x14ac:dyDescent="0.3">
      <c r="F98" s="7" t="e">
        <f t="shared" ca="1" si="2"/>
        <v>#N/A</v>
      </c>
    </row>
    <row r="99" spans="6:6" x14ac:dyDescent="0.3">
      <c r="F99" s="7" t="e">
        <f t="shared" ca="1" si="2"/>
        <v>#N/A</v>
      </c>
    </row>
    <row r="100" spans="6:6" x14ac:dyDescent="0.3">
      <c r="F100" s="7" t="e">
        <f t="shared" ca="1" si="2"/>
        <v>#N/A</v>
      </c>
    </row>
    <row r="101" spans="6:6" x14ac:dyDescent="0.3">
      <c r="F101" s="7" t="e">
        <f t="shared" ca="1" si="2"/>
        <v>#N/A</v>
      </c>
    </row>
    <row r="102" spans="6:6" x14ac:dyDescent="0.3">
      <c r="F102" s="7" t="e">
        <f t="shared" ca="1" si="2"/>
        <v>#N/A</v>
      </c>
    </row>
    <row r="103" spans="6:6" x14ac:dyDescent="0.3">
      <c r="F103" s="7" t="e">
        <f t="shared" ca="1" si="2"/>
        <v>#N/A</v>
      </c>
    </row>
    <row r="104" spans="6:6" x14ac:dyDescent="0.3">
      <c r="F104" s="7" t="e">
        <f t="shared" ca="1" si="2"/>
        <v>#N/A</v>
      </c>
    </row>
    <row r="105" spans="6:6" x14ac:dyDescent="0.3">
      <c r="F105" s="7" t="e">
        <f t="shared" ca="1" si="2"/>
        <v>#N/A</v>
      </c>
    </row>
    <row r="106" spans="6:6" x14ac:dyDescent="0.3">
      <c r="F106" s="7" t="e">
        <f t="shared" ca="1" si="2"/>
        <v>#N/A</v>
      </c>
    </row>
    <row r="107" spans="6:6" x14ac:dyDescent="0.3">
      <c r="F107" s="7" t="e">
        <f t="shared" ca="1" si="2"/>
        <v>#N/A</v>
      </c>
    </row>
    <row r="108" spans="6:6" x14ac:dyDescent="0.3">
      <c r="F108" s="7" t="e">
        <f t="shared" ca="1" si="2"/>
        <v>#N/A</v>
      </c>
    </row>
    <row r="109" spans="6:6" x14ac:dyDescent="0.3">
      <c r="F109" s="7" t="e">
        <f t="shared" ca="1" si="2"/>
        <v>#N/A</v>
      </c>
    </row>
    <row r="110" spans="6:6" x14ac:dyDescent="0.3">
      <c r="F110" s="7" t="e">
        <f t="shared" ca="1" si="2"/>
        <v>#N/A</v>
      </c>
    </row>
    <row r="111" spans="6:6" x14ac:dyDescent="0.3">
      <c r="F111" s="7" t="e">
        <f t="shared" ca="1" si="2"/>
        <v>#N/A</v>
      </c>
    </row>
    <row r="112" spans="6:6" x14ac:dyDescent="0.3">
      <c r="F112" s="7" t="e">
        <f t="shared" ca="1" si="2"/>
        <v>#N/A</v>
      </c>
    </row>
    <row r="113" spans="6:6" x14ac:dyDescent="0.3">
      <c r="F113" s="7" t="e">
        <f t="shared" ca="1" si="2"/>
        <v>#N/A</v>
      </c>
    </row>
    <row r="114" spans="6:6" x14ac:dyDescent="0.3">
      <c r="F114" s="7" t="e">
        <f t="shared" ca="1" si="2"/>
        <v>#N/A</v>
      </c>
    </row>
    <row r="115" spans="6:6" x14ac:dyDescent="0.3">
      <c r="F115" s="7" t="e">
        <f t="shared" ca="1" si="2"/>
        <v>#N/A</v>
      </c>
    </row>
    <row r="116" spans="6:6" x14ac:dyDescent="0.3">
      <c r="F116" s="7" t="e">
        <f t="shared" ca="1" si="2"/>
        <v>#N/A</v>
      </c>
    </row>
    <row r="117" spans="6:6" x14ac:dyDescent="0.3">
      <c r="F117" s="7" t="e">
        <f t="shared" ca="1" si="2"/>
        <v>#N/A</v>
      </c>
    </row>
    <row r="118" spans="6:6" x14ac:dyDescent="0.3">
      <c r="F118" s="7" t="e">
        <f t="shared" ca="1" si="2"/>
        <v>#N/A</v>
      </c>
    </row>
    <row r="119" spans="6:6" x14ac:dyDescent="0.3">
      <c r="F119" s="7" t="e">
        <f t="shared" ca="1" si="2"/>
        <v>#N/A</v>
      </c>
    </row>
    <row r="120" spans="6:6" x14ac:dyDescent="0.3">
      <c r="F120" s="7" t="e">
        <f t="shared" ca="1" si="2"/>
        <v>#N/A</v>
      </c>
    </row>
    <row r="121" spans="6:6" x14ac:dyDescent="0.3">
      <c r="F121" s="7" t="e">
        <f t="shared" ca="1" si="2"/>
        <v>#N/A</v>
      </c>
    </row>
    <row r="122" spans="6:6" x14ac:dyDescent="0.3">
      <c r="F122" s="7" t="e">
        <f t="shared" ca="1" si="2"/>
        <v>#N/A</v>
      </c>
    </row>
    <row r="123" spans="6:6" x14ac:dyDescent="0.3">
      <c r="F123" s="7" t="e">
        <f t="shared" ca="1" si="2"/>
        <v>#N/A</v>
      </c>
    </row>
    <row r="124" spans="6:6" x14ac:dyDescent="0.3">
      <c r="F124" s="7" t="e">
        <f t="shared" ca="1" si="2"/>
        <v>#N/A</v>
      </c>
    </row>
    <row r="125" spans="6:6" x14ac:dyDescent="0.3">
      <c r="F125" s="7" t="e">
        <f t="shared" ca="1" si="2"/>
        <v>#N/A</v>
      </c>
    </row>
    <row r="126" spans="6:6" x14ac:dyDescent="0.3">
      <c r="F126" s="7" t="e">
        <f t="shared" ca="1" si="2"/>
        <v>#N/A</v>
      </c>
    </row>
    <row r="127" spans="6:6" x14ac:dyDescent="0.3">
      <c r="F127" s="7" t="e">
        <f t="shared" ca="1" si="2"/>
        <v>#N/A</v>
      </c>
    </row>
    <row r="128" spans="6:6" x14ac:dyDescent="0.3">
      <c r="F128" s="7" t="e">
        <f t="shared" ca="1" si="2"/>
        <v>#N/A</v>
      </c>
    </row>
    <row r="129" spans="6:6" x14ac:dyDescent="0.3">
      <c r="F129" s="7" t="e">
        <f t="shared" ca="1" si="2"/>
        <v>#N/A</v>
      </c>
    </row>
    <row r="130" spans="6:6" x14ac:dyDescent="0.3">
      <c r="F130" s="7" t="e">
        <f t="shared" ca="1" si="2"/>
        <v>#N/A</v>
      </c>
    </row>
    <row r="131" spans="6:6" x14ac:dyDescent="0.3">
      <c r="F131" s="7" t="e">
        <f t="shared" ca="1" si="2"/>
        <v>#N/A</v>
      </c>
    </row>
    <row r="132" spans="6:6" x14ac:dyDescent="0.3">
      <c r="F132" s="7" t="e">
        <f t="shared" ca="1" si="2"/>
        <v>#N/A</v>
      </c>
    </row>
    <row r="133" spans="6:6" x14ac:dyDescent="0.3">
      <c r="F133" s="7" t="e">
        <f t="shared" ref="F133:F139" ca="1" si="3">OFFSET($I$3,ROW(G133)-ROW($G$4)+1,$G$1)</f>
        <v>#N/A</v>
      </c>
    </row>
    <row r="134" spans="6:6" x14ac:dyDescent="0.3">
      <c r="F134" s="7" t="e">
        <f t="shared" ca="1" si="3"/>
        <v>#N/A</v>
      </c>
    </row>
    <row r="135" spans="6:6" x14ac:dyDescent="0.3">
      <c r="F135" s="7" t="e">
        <f t="shared" ca="1" si="3"/>
        <v>#N/A</v>
      </c>
    </row>
    <row r="136" spans="6:6" x14ac:dyDescent="0.3">
      <c r="F136" s="7" t="e">
        <f t="shared" ca="1" si="3"/>
        <v>#N/A</v>
      </c>
    </row>
    <row r="137" spans="6:6" x14ac:dyDescent="0.3">
      <c r="F137" s="7" t="e">
        <f t="shared" ca="1" si="3"/>
        <v>#N/A</v>
      </c>
    </row>
    <row r="138" spans="6:6" x14ac:dyDescent="0.3">
      <c r="F138" s="7" t="e">
        <f t="shared" ca="1" si="3"/>
        <v>#N/A</v>
      </c>
    </row>
    <row r="139" spans="6:6" x14ac:dyDescent="0.3">
      <c r="F139" s="7" t="e">
        <f t="shared" ca="1" si="3"/>
        <v>#N/A</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D8E9A-C88E-4137-AF9C-E4D072724284}">
  <sheetPr codeName="Sheet2"/>
  <dimension ref="A2:Y184"/>
  <sheetViews>
    <sheetView workbookViewId="0">
      <pane xSplit="2" ySplit="3" topLeftCell="C53" activePane="bottomRight" state="frozen"/>
      <selection activeCell="D19" sqref="D19"/>
      <selection pane="topRight" activeCell="D19" sqref="D19"/>
      <selection pane="bottomLeft" activeCell="D19" sqref="D19"/>
      <selection pane="bottomRight" activeCell="G67" sqref="G67"/>
    </sheetView>
  </sheetViews>
  <sheetFormatPr defaultRowHeight="14.4" x14ac:dyDescent="0.3"/>
  <cols>
    <col min="1" max="1" width="9.109375" style="29"/>
    <col min="2" max="2" width="48.33203125" customWidth="1"/>
    <col min="3" max="4" width="9.109375" style="15"/>
    <col min="5" max="5" width="45.44140625" customWidth="1"/>
    <col min="6" max="6" width="26.88671875" customWidth="1"/>
    <col min="7" max="7" width="77.44140625" customWidth="1"/>
    <col min="8" max="8" width="21.5546875" customWidth="1"/>
    <col min="9" max="10" width="11.5546875" bestFit="1" customWidth="1"/>
    <col min="11" max="11" width="13.33203125" bestFit="1" customWidth="1"/>
    <col min="12" max="12" width="15.33203125" customWidth="1"/>
    <col min="13" max="13" width="13.6640625" customWidth="1"/>
    <col min="14" max="14" width="13.33203125" customWidth="1"/>
    <col min="15" max="15" width="12.109375" style="36" bestFit="1" customWidth="1"/>
    <col min="16" max="16" width="12.5546875" customWidth="1"/>
    <col min="17" max="17" width="12.33203125" customWidth="1"/>
    <col min="18" max="18" width="12.6640625" customWidth="1"/>
    <col min="19" max="19" width="10.33203125" bestFit="1" customWidth="1"/>
    <col min="20" max="20" width="14.109375" customWidth="1"/>
    <col min="21" max="22" width="13.6640625" customWidth="1"/>
  </cols>
  <sheetData>
    <row r="2" spans="1:15" x14ac:dyDescent="0.3">
      <c r="E2" s="259" t="s">
        <v>230</v>
      </c>
      <c r="F2" s="259"/>
      <c r="G2" s="259"/>
      <c r="H2" s="259"/>
      <c r="I2" s="259"/>
      <c r="M2" s="1" t="s">
        <v>210</v>
      </c>
      <c r="N2" s="1" t="s">
        <v>212</v>
      </c>
      <c r="O2" s="43" t="s">
        <v>213</v>
      </c>
    </row>
    <row r="3" spans="1:15" s="29" customFormat="1" x14ac:dyDescent="0.3">
      <c r="A3" s="29" t="s">
        <v>234</v>
      </c>
      <c r="B3" s="29" t="s">
        <v>235</v>
      </c>
      <c r="C3" s="30" t="s">
        <v>192</v>
      </c>
      <c r="D3" s="30" t="s">
        <v>193</v>
      </c>
      <c r="E3" s="1" t="s">
        <v>196</v>
      </c>
      <c r="F3" s="1" t="s">
        <v>223</v>
      </c>
      <c r="G3" s="1" t="s">
        <v>206</v>
      </c>
      <c r="H3" s="1" t="s">
        <v>207</v>
      </c>
      <c r="I3" s="1" t="s">
        <v>24</v>
      </c>
      <c r="K3"/>
      <c r="L3"/>
      <c r="M3" s="1"/>
      <c r="N3" s="1"/>
      <c r="O3" s="43"/>
    </row>
    <row r="4" spans="1:15" x14ac:dyDescent="0.3">
      <c r="A4" s="29" t="s">
        <v>208</v>
      </c>
      <c r="B4" t="s">
        <v>165</v>
      </c>
      <c r="C4" s="14">
        <v>8.9999999999999993E-3</v>
      </c>
      <c r="D4" s="14">
        <v>6.4999999999999997E-3</v>
      </c>
      <c r="E4" s="17" t="str">
        <f>IF(D4=0,C4,"From "&amp;TEXT(ROUND(C4*100,2),"#0.#0")&amp;"% to "&amp;TEXT(ROUND((D4+C4)*100,2),"#0.#0")&amp;"% depending on funds chosen. ")</f>
        <v xml:space="preserve">From 0.90% to 1.55% depending on funds chosen. </v>
      </c>
      <c r="F4" s="17" t="str">
        <f>"This product has a "&amp;O4*100&amp;"% contribution charge. "</f>
        <v xml:space="preserve">This product has a 0% contribution charge. </v>
      </c>
      <c r="G4" s="69" t="str">
        <f>" The AMC includes standard trail of "&amp;M4*100&amp;"% of fund value."</f>
        <v xml:space="preserve"> The AMC includes standard trail of 0% of fund value.</v>
      </c>
      <c r="H4" s="37" t="str">
        <f t="shared" ref="H4:H9" si="0">IF(N4=0,"","A rebate of "&amp;ROUND(N4*100,2)&amp;"% is applied in addition to the AMC indicated, on funds over €100,000. ")</f>
        <v/>
      </c>
      <c r="I4" s="37"/>
      <c r="M4" s="18">
        <f>C4-$C$4</f>
        <v>0</v>
      </c>
      <c r="N4" s="44">
        <v>0</v>
      </c>
      <c r="O4" s="35">
        <v>0</v>
      </c>
    </row>
    <row r="5" spans="1:15" x14ac:dyDescent="0.3">
      <c r="B5" t="s">
        <v>166</v>
      </c>
      <c r="C5" s="14">
        <v>1.15E-2</v>
      </c>
      <c r="D5" s="14">
        <v>6.4999999999999997E-3</v>
      </c>
      <c r="E5" s="17" t="str">
        <f t="shared" ref="E5:E46" si="1">IF(D5=0,C5,"From "&amp;TEXT(ROUND(C5*100,2),"#0.#0")&amp;"% to "&amp;TEXT(ROUND((D5+C5)*100,2),"#0.#0")&amp;"% depending on funds chosen. ")</f>
        <v xml:space="preserve">From 1.15% to 1.80% depending on funds chosen. </v>
      </c>
      <c r="F5" s="17" t="str">
        <f t="shared" ref="F5:F19" si="2">"This product has a "&amp;O5*100&amp;"% contribution charge. "</f>
        <v xml:space="preserve">This product has a 0% contribution charge. </v>
      </c>
      <c r="G5" s="69" t="str">
        <f t="shared" ref="G5:G19" si="3">" The AMC includes standard trail of "&amp;M5*100&amp;"% of fund value."</f>
        <v xml:space="preserve"> The AMC includes standard trail of 0.25% of fund value.</v>
      </c>
      <c r="H5" s="37" t="str">
        <f t="shared" si="0"/>
        <v/>
      </c>
      <c r="I5" s="37"/>
      <c r="M5" s="18">
        <f t="shared" ref="M5:M16" si="4">C5-$C$4</f>
        <v>2.5000000000000005E-3</v>
      </c>
      <c r="N5" s="44">
        <v>0</v>
      </c>
      <c r="O5" s="35">
        <v>0</v>
      </c>
    </row>
    <row r="6" spans="1:15" x14ac:dyDescent="0.3">
      <c r="B6" t="s">
        <v>167</v>
      </c>
      <c r="C6" s="14">
        <v>1.4E-2</v>
      </c>
      <c r="D6" s="14">
        <f t="shared" ref="D6:D19" si="5">D5</f>
        <v>6.4999999999999997E-3</v>
      </c>
      <c r="E6" s="17" t="str">
        <f t="shared" si="1"/>
        <v xml:space="preserve">From 1.40% to 2.05% depending on funds chosen. </v>
      </c>
      <c r="F6" s="17" t="str">
        <f t="shared" si="2"/>
        <v xml:space="preserve">This product has a 0% contribution charge. </v>
      </c>
      <c r="G6" s="69" t="str">
        <f t="shared" si="3"/>
        <v xml:space="preserve"> The AMC includes standard trail of 0.5% of fund value.</v>
      </c>
      <c r="H6" s="37" t="str">
        <f t="shared" si="0"/>
        <v/>
      </c>
      <c r="I6" s="37"/>
      <c r="M6" s="18">
        <f t="shared" si="4"/>
        <v>5.000000000000001E-3</v>
      </c>
      <c r="N6" s="44">
        <v>0</v>
      </c>
      <c r="O6" s="35">
        <v>0</v>
      </c>
    </row>
    <row r="7" spans="1:15" x14ac:dyDescent="0.3">
      <c r="B7" t="s">
        <v>168</v>
      </c>
      <c r="C7" s="14">
        <v>8.9999999999999993E-3</v>
      </c>
      <c r="D7" s="14">
        <f t="shared" si="5"/>
        <v>6.4999999999999997E-3</v>
      </c>
      <c r="E7" s="17" t="str">
        <f t="shared" si="1"/>
        <v xml:space="preserve">From 0.90% to 1.55% depending on funds chosen. </v>
      </c>
      <c r="F7" s="17" t="str">
        <f t="shared" si="2"/>
        <v xml:space="preserve">This product has a 2.5% contribution charge. </v>
      </c>
      <c r="G7" s="69" t="str">
        <f t="shared" si="3"/>
        <v xml:space="preserve"> The AMC includes standard trail of 0% of fund value.</v>
      </c>
      <c r="H7" s="37" t="str">
        <f t="shared" si="0"/>
        <v/>
      </c>
      <c r="I7" s="37"/>
      <c r="M7" s="18">
        <f t="shared" si="4"/>
        <v>0</v>
      </c>
      <c r="N7" s="44">
        <v>0</v>
      </c>
      <c r="O7" s="35">
        <v>2.5000000000000001E-2</v>
      </c>
    </row>
    <row r="8" spans="1:15" x14ac:dyDescent="0.3">
      <c r="B8" t="s">
        <v>169</v>
      </c>
      <c r="C8" s="14">
        <v>1.15E-2</v>
      </c>
      <c r="D8" s="14">
        <f t="shared" si="5"/>
        <v>6.4999999999999997E-3</v>
      </c>
      <c r="E8" s="17" t="str">
        <f t="shared" si="1"/>
        <v xml:space="preserve">From 1.15% to 1.80% depending on funds chosen. </v>
      </c>
      <c r="F8" s="17" t="str">
        <f t="shared" si="2"/>
        <v xml:space="preserve">This product has a 2.5% contribution charge. </v>
      </c>
      <c r="G8" s="69" t="str">
        <f t="shared" si="3"/>
        <v xml:space="preserve"> The AMC includes standard trail of 0.25% of fund value.</v>
      </c>
      <c r="H8" s="37" t="str">
        <f t="shared" si="0"/>
        <v/>
      </c>
      <c r="I8" s="37"/>
      <c r="M8" s="18">
        <f t="shared" si="4"/>
        <v>2.5000000000000005E-3</v>
      </c>
      <c r="N8" s="44">
        <v>0</v>
      </c>
      <c r="O8" s="35">
        <v>2.5000000000000001E-2</v>
      </c>
    </row>
    <row r="9" spans="1:15" x14ac:dyDescent="0.3">
      <c r="B9" t="s">
        <v>170</v>
      </c>
      <c r="C9" s="14">
        <v>1.4E-2</v>
      </c>
      <c r="D9" s="14">
        <f t="shared" si="5"/>
        <v>6.4999999999999997E-3</v>
      </c>
      <c r="E9" s="17" t="str">
        <f t="shared" si="1"/>
        <v xml:space="preserve">From 1.40% to 2.05% depending on funds chosen. </v>
      </c>
      <c r="F9" s="17" t="str">
        <f t="shared" si="2"/>
        <v xml:space="preserve">This product has a 2.5% contribution charge. </v>
      </c>
      <c r="G9" s="69" t="str">
        <f t="shared" si="3"/>
        <v xml:space="preserve"> The AMC includes standard trail of 0.5% of fund value.</v>
      </c>
      <c r="H9" s="37" t="str">
        <f t="shared" si="0"/>
        <v/>
      </c>
      <c r="I9" s="37"/>
      <c r="M9" s="18">
        <f t="shared" si="4"/>
        <v>5.000000000000001E-3</v>
      </c>
      <c r="N9" s="44">
        <v>0</v>
      </c>
      <c r="O9" s="35">
        <v>2.5000000000000001E-2</v>
      </c>
    </row>
    <row r="10" spans="1:15" x14ac:dyDescent="0.3">
      <c r="B10" t="s">
        <v>171</v>
      </c>
      <c r="C10" s="14">
        <v>8.9999999999999993E-3</v>
      </c>
      <c r="D10" s="14">
        <f t="shared" si="5"/>
        <v>6.4999999999999997E-3</v>
      </c>
      <c r="E10" s="17" t="str">
        <f t="shared" si="1"/>
        <v xml:space="preserve">From 0.90% to 1.55% depending on funds chosen. </v>
      </c>
      <c r="F10" s="17" t="str">
        <f t="shared" si="2"/>
        <v xml:space="preserve">This product has a 5% contribution charge. </v>
      </c>
      <c r="G10" s="69" t="str">
        <f t="shared" si="3"/>
        <v xml:space="preserve"> The AMC includes standard trail of 0% of fund value.</v>
      </c>
      <c r="H10" s="37" t="str">
        <f>IF(N10=0,"","A rebate of "&amp;ROUND(N10*100,2)&amp;"% is applied in addition to the AMC indicated, on funds over €100,000. ")</f>
        <v xml:space="preserve">A rebate of 0.25% is applied in addition to the AMC indicated, on funds over €100,000. </v>
      </c>
      <c r="I10" s="37"/>
      <c r="M10" s="18">
        <f t="shared" si="4"/>
        <v>0</v>
      </c>
      <c r="N10" s="38">
        <v>2.5000000000000001E-3</v>
      </c>
      <c r="O10" s="35">
        <v>0.05</v>
      </c>
    </row>
    <row r="11" spans="1:15" x14ac:dyDescent="0.3">
      <c r="B11" t="s">
        <v>172</v>
      </c>
      <c r="C11" s="14">
        <v>1.15E-2</v>
      </c>
      <c r="D11" s="14">
        <f t="shared" si="5"/>
        <v>6.4999999999999997E-3</v>
      </c>
      <c r="E11" s="17" t="str">
        <f t="shared" si="1"/>
        <v xml:space="preserve">From 1.15% to 1.80% depending on funds chosen. </v>
      </c>
      <c r="F11" s="17" t="str">
        <f t="shared" si="2"/>
        <v xml:space="preserve">This product has a 5% contribution charge. </v>
      </c>
      <c r="G11" s="69" t="str">
        <f t="shared" si="3"/>
        <v xml:space="preserve"> The AMC includes standard trail of 0.25% of fund value.</v>
      </c>
      <c r="H11" s="37" t="str">
        <f t="shared" ref="H11:H19" si="6">IF(N11=0,"","A rebate of "&amp;ROUND(N11*100,2)&amp;"% is applied in addition to the AMC indicated, on funds over €100,000. ")</f>
        <v xml:space="preserve">A rebate of 0.25% is applied in addition to the AMC indicated, on funds over €100,000. </v>
      </c>
      <c r="I11" s="37"/>
      <c r="M11" s="18">
        <f t="shared" si="4"/>
        <v>2.5000000000000005E-3</v>
      </c>
      <c r="N11" s="38">
        <v>2.5000000000000001E-3</v>
      </c>
      <c r="O11" s="35">
        <v>0.05</v>
      </c>
    </row>
    <row r="12" spans="1:15" x14ac:dyDescent="0.3">
      <c r="B12" t="s">
        <v>173</v>
      </c>
      <c r="C12" s="14">
        <v>1.4E-2</v>
      </c>
      <c r="D12" s="14">
        <f t="shared" si="5"/>
        <v>6.4999999999999997E-3</v>
      </c>
      <c r="E12" s="17" t="str">
        <f t="shared" si="1"/>
        <v xml:space="preserve">From 1.40% to 2.05% depending on funds chosen. </v>
      </c>
      <c r="F12" s="17" t="str">
        <f t="shared" si="2"/>
        <v xml:space="preserve">This product has a 5% contribution charge. </v>
      </c>
      <c r="G12" s="69" t="str">
        <f t="shared" si="3"/>
        <v xml:space="preserve"> The AMC includes standard trail of 0.5% of fund value.</v>
      </c>
      <c r="H12" s="37" t="str">
        <f t="shared" si="6"/>
        <v xml:space="preserve">A rebate of 0.25% is applied in addition to the AMC indicated, on funds over €100,000. </v>
      </c>
      <c r="I12" s="37"/>
      <c r="M12" s="18">
        <f t="shared" si="4"/>
        <v>5.000000000000001E-3</v>
      </c>
      <c r="N12" s="38">
        <v>2.5000000000000001E-3</v>
      </c>
      <c r="O12" s="35">
        <v>0.05</v>
      </c>
    </row>
    <row r="13" spans="1:15" x14ac:dyDescent="0.3">
      <c r="B13" t="s">
        <v>174</v>
      </c>
      <c r="C13" s="14">
        <v>1.15E-2</v>
      </c>
      <c r="D13" s="14">
        <f t="shared" si="5"/>
        <v>6.4999999999999997E-3</v>
      </c>
      <c r="E13" s="17" t="str">
        <f t="shared" si="1"/>
        <v xml:space="preserve">From 1.15% to 1.80% depending on funds chosen. </v>
      </c>
      <c r="F13" s="17" t="str">
        <f t="shared" si="2"/>
        <v xml:space="preserve">This product has a 0% contribution charge. </v>
      </c>
      <c r="G13" s="69" t="str">
        <f t="shared" si="3"/>
        <v xml:space="preserve"> The AMC includes standard trail of 0.25% of fund value.</v>
      </c>
      <c r="H13" s="37" t="str">
        <f t="shared" si="6"/>
        <v xml:space="preserve">A rebate of 0.25% is applied in addition to the AMC indicated, on funds over €100,000. </v>
      </c>
      <c r="I13" s="37"/>
      <c r="M13" s="18">
        <f t="shared" si="4"/>
        <v>2.5000000000000005E-3</v>
      </c>
      <c r="N13" s="38">
        <v>2.5000000000000001E-3</v>
      </c>
      <c r="O13" s="35">
        <v>0</v>
      </c>
    </row>
    <row r="14" spans="1:15" x14ac:dyDescent="0.3">
      <c r="B14" t="s">
        <v>175</v>
      </c>
      <c r="C14" s="14">
        <v>1.4E-2</v>
      </c>
      <c r="D14" s="14">
        <f t="shared" si="5"/>
        <v>6.4999999999999997E-3</v>
      </c>
      <c r="E14" s="17" t="str">
        <f t="shared" si="1"/>
        <v xml:space="preserve">From 1.40% to 2.05% depending on funds chosen. </v>
      </c>
      <c r="F14" s="17" t="str">
        <f t="shared" si="2"/>
        <v xml:space="preserve">This product has a 0% contribution charge. </v>
      </c>
      <c r="G14" s="69" t="str">
        <f t="shared" si="3"/>
        <v xml:space="preserve"> The AMC includes standard trail of 0.5% of fund value.</v>
      </c>
      <c r="H14" s="37" t="str">
        <f t="shared" si="6"/>
        <v xml:space="preserve">A rebate of 0.25% is applied in addition to the AMC indicated, on funds over €100,000. </v>
      </c>
      <c r="I14" s="37"/>
      <c r="M14" s="18">
        <f t="shared" si="4"/>
        <v>5.000000000000001E-3</v>
      </c>
      <c r="N14" s="38">
        <v>2.5000000000000001E-3</v>
      </c>
      <c r="O14" s="35">
        <v>0</v>
      </c>
    </row>
    <row r="15" spans="1:15" x14ac:dyDescent="0.3">
      <c r="B15" t="s">
        <v>176</v>
      </c>
      <c r="C15" s="14">
        <v>1.4E-2</v>
      </c>
      <c r="D15" s="14">
        <f t="shared" si="5"/>
        <v>6.4999999999999997E-3</v>
      </c>
      <c r="E15" s="17" t="str">
        <f t="shared" si="1"/>
        <v xml:space="preserve">From 1.40% to 2.05% depending on funds chosen. </v>
      </c>
      <c r="F15" s="17" t="str">
        <f t="shared" si="2"/>
        <v xml:space="preserve">This product has a 0% contribution charge. </v>
      </c>
      <c r="G15" s="69" t="str">
        <f t="shared" si="3"/>
        <v xml:space="preserve"> The AMC includes standard trail of 0.5% of fund value.</v>
      </c>
      <c r="H15" s="37" t="str">
        <f t="shared" si="6"/>
        <v xml:space="preserve">A rebate of 0.45% is applied in addition to the AMC indicated, on funds over €100,000. </v>
      </c>
      <c r="I15" s="37"/>
      <c r="M15" s="18">
        <f t="shared" si="4"/>
        <v>5.000000000000001E-3</v>
      </c>
      <c r="N15" s="38">
        <v>4.4999999999999997E-3</v>
      </c>
      <c r="O15" s="35">
        <v>0</v>
      </c>
    </row>
    <row r="16" spans="1:15" x14ac:dyDescent="0.3">
      <c r="B16" t="s">
        <v>177</v>
      </c>
      <c r="C16" s="14">
        <v>1.4E-2</v>
      </c>
      <c r="D16" s="14">
        <f t="shared" si="5"/>
        <v>6.4999999999999997E-3</v>
      </c>
      <c r="E16" s="17" t="str">
        <f t="shared" si="1"/>
        <v xml:space="preserve">From 1.40% to 2.05% depending on funds chosen. </v>
      </c>
      <c r="F16" s="17" t="str">
        <f t="shared" si="2"/>
        <v xml:space="preserve">This product has a 0% contribution charge. </v>
      </c>
      <c r="G16" s="69" t="str">
        <f t="shared" si="3"/>
        <v xml:space="preserve"> The AMC includes standard trail of 0.5% of fund value.</v>
      </c>
      <c r="H16" s="37" t="str">
        <f t="shared" si="6"/>
        <v xml:space="preserve">A rebate of 0.5% is applied in addition to the AMC indicated, on funds over €100,000. </v>
      </c>
      <c r="I16" s="37"/>
      <c r="M16" s="18">
        <f t="shared" si="4"/>
        <v>5.000000000000001E-3</v>
      </c>
      <c r="N16" s="38">
        <v>5.0000000000000001E-3</v>
      </c>
      <c r="O16" s="35">
        <v>0</v>
      </c>
    </row>
    <row r="17" spans="1:15" x14ac:dyDescent="0.3">
      <c r="B17" t="s">
        <v>178</v>
      </c>
      <c r="C17" s="14">
        <v>8.9999999999999993E-3</v>
      </c>
      <c r="D17" s="14">
        <f t="shared" si="5"/>
        <v>6.4999999999999997E-3</v>
      </c>
      <c r="E17" s="17" t="str">
        <f t="shared" si="1"/>
        <v xml:space="preserve">From 0.90% to 1.55% depending on funds chosen. </v>
      </c>
      <c r="F17" s="17" t="str">
        <f t="shared" si="2"/>
        <v xml:space="preserve">This product has a 0% contribution charge. </v>
      </c>
      <c r="G17" s="69" t="str">
        <f t="shared" si="3"/>
        <v xml:space="preserve"> The AMC includes standard trail of 0.75% of fund value.</v>
      </c>
      <c r="H17" s="37" t="str">
        <f t="shared" si="6"/>
        <v xml:space="preserve">A rebate of 0.5% is applied in addition to the AMC indicated, on funds over €100,000. </v>
      </c>
      <c r="I17" s="37"/>
      <c r="M17" s="18">
        <v>7.4999999999999997E-3</v>
      </c>
      <c r="N17" s="38">
        <v>5.0000000000000001E-3</v>
      </c>
      <c r="O17" s="35">
        <v>0</v>
      </c>
    </row>
    <row r="18" spans="1:15" x14ac:dyDescent="0.3">
      <c r="B18" t="s">
        <v>179</v>
      </c>
      <c r="C18" s="14">
        <v>8.9999999999999993E-3</v>
      </c>
      <c r="D18" s="14">
        <f t="shared" si="5"/>
        <v>6.4999999999999997E-3</v>
      </c>
      <c r="E18" s="17" t="str">
        <f t="shared" si="1"/>
        <v xml:space="preserve">From 0.90% to 1.55% depending on funds chosen. </v>
      </c>
      <c r="F18" s="17" t="str">
        <f t="shared" si="2"/>
        <v xml:space="preserve">This product has a 0% contribution charge. </v>
      </c>
      <c r="G18" s="69" t="str">
        <f t="shared" si="3"/>
        <v xml:space="preserve"> The AMC includes standard trail of 0% of fund value.</v>
      </c>
      <c r="H18" s="37" t="str">
        <f t="shared" si="6"/>
        <v xml:space="preserve">A rebate of 0.5% is applied in addition to the AMC indicated, on funds over €100,000. </v>
      </c>
      <c r="I18" s="37"/>
      <c r="M18" s="18">
        <v>0</v>
      </c>
      <c r="N18" s="38">
        <v>5.0000000000000001E-3</v>
      </c>
      <c r="O18" s="35">
        <v>0</v>
      </c>
    </row>
    <row r="19" spans="1:15" s="32" customFormat="1" x14ac:dyDescent="0.3">
      <c r="A19" s="72"/>
      <c r="B19" s="32" t="s">
        <v>180</v>
      </c>
      <c r="C19" s="33">
        <v>8.9999999999999993E-3</v>
      </c>
      <c r="D19" s="33">
        <f t="shared" si="5"/>
        <v>6.4999999999999997E-3</v>
      </c>
      <c r="E19" s="17" t="str">
        <f t="shared" si="1"/>
        <v xml:space="preserve">From 0.90% to 1.55% depending on funds chosen. </v>
      </c>
      <c r="F19" s="17" t="str">
        <f t="shared" si="2"/>
        <v xml:space="preserve">This product has a 0% contribution charge. </v>
      </c>
      <c r="G19" s="69" t="str">
        <f t="shared" si="3"/>
        <v xml:space="preserve"> The AMC includes standard trail of 0.25% of fund value.</v>
      </c>
      <c r="H19" s="37" t="str">
        <f t="shared" si="6"/>
        <v xml:space="preserve">A rebate of 0.45% is applied in addition to the AMC indicated, on funds over €100,000. </v>
      </c>
      <c r="I19" s="37"/>
      <c r="J19"/>
      <c r="K19"/>
      <c r="L19"/>
      <c r="M19" s="18">
        <v>2.5000000000000001E-3</v>
      </c>
      <c r="N19" s="38">
        <v>4.4999999999999997E-3</v>
      </c>
      <c r="O19" s="35">
        <v>0</v>
      </c>
    </row>
    <row r="20" spans="1:15" x14ac:dyDescent="0.3">
      <c r="C20"/>
      <c r="D20"/>
      <c r="O20"/>
    </row>
    <row r="21" spans="1:15" x14ac:dyDescent="0.3">
      <c r="A21" s="29" t="s">
        <v>209</v>
      </c>
      <c r="B21" t="s">
        <v>63</v>
      </c>
      <c r="C21" s="15">
        <v>7.4999999999999997E-3</v>
      </c>
      <c r="D21" s="15">
        <v>3.5000000000000001E-3</v>
      </c>
      <c r="E21" s="17" t="str">
        <f t="shared" si="1"/>
        <v xml:space="preserve">From 0.75% to 1.10% depending on funds chosen. </v>
      </c>
      <c r="F21" s="17" t="str">
        <f>"This product has a "&amp;O21*100&amp;"% contribution charge. "</f>
        <v xml:space="preserve">This product has a 0% contribution charge. </v>
      </c>
      <c r="G21" s="69" t="str">
        <f t="shared" ref="G21:G39" si="7">" This includes standard trail of "&amp;M21*100&amp;"% of fund value or any extra trail agreed with provider."</f>
        <v xml:space="preserve"> This includes standard trail of 0% of fund value or any extra trail agreed with provider.</v>
      </c>
      <c r="H21" s="37"/>
      <c r="I21" s="37"/>
      <c r="M21" s="38">
        <v>0</v>
      </c>
      <c r="N21" s="37"/>
      <c r="O21" s="35">
        <v>0</v>
      </c>
    </row>
    <row r="22" spans="1:15" x14ac:dyDescent="0.3">
      <c r="B22" t="s">
        <v>64</v>
      </c>
      <c r="C22" s="15">
        <v>0.01</v>
      </c>
      <c r="D22" s="15">
        <v>3.5000000000000001E-3</v>
      </c>
      <c r="E22" s="17" t="str">
        <f t="shared" si="1"/>
        <v xml:space="preserve">From 1.0% to 1.35% depending on funds chosen. </v>
      </c>
      <c r="F22" s="17" t="str">
        <f t="shared" ref="F22:F31" si="8">"This product has a "&amp;O22*100&amp;"% contribution charge. "</f>
        <v xml:space="preserve">This product has a 0% contribution charge. </v>
      </c>
      <c r="G22" s="69" t="str">
        <f t="shared" si="7"/>
        <v xml:space="preserve"> This includes standard trail of 0% of fund value or any extra trail agreed with provider.</v>
      </c>
      <c r="H22" s="37"/>
      <c r="I22" s="37"/>
      <c r="M22" s="38">
        <v>0</v>
      </c>
      <c r="N22" s="37"/>
      <c r="O22" s="35">
        <v>0</v>
      </c>
    </row>
    <row r="23" spans="1:15" x14ac:dyDescent="0.3">
      <c r="B23" t="s">
        <v>65</v>
      </c>
      <c r="C23" s="15">
        <v>0.01</v>
      </c>
      <c r="D23" s="15">
        <v>3.5000000000000001E-3</v>
      </c>
      <c r="E23" s="17" t="str">
        <f t="shared" si="1"/>
        <v xml:space="preserve">From 1.0% to 1.35% depending on funds chosen. </v>
      </c>
      <c r="F23" s="17" t="str">
        <f t="shared" si="8"/>
        <v xml:space="preserve">This product has a 5% contribution charge. </v>
      </c>
      <c r="G23" s="69" t="str">
        <f t="shared" si="7"/>
        <v xml:space="preserve"> This includes standard trail of 0% of fund value or any extra trail agreed with provider.</v>
      </c>
      <c r="H23" s="37"/>
      <c r="I23" s="37"/>
      <c r="M23" s="38">
        <v>0</v>
      </c>
      <c r="N23" s="37"/>
      <c r="O23" s="35">
        <v>0.05</v>
      </c>
    </row>
    <row r="24" spans="1:15" x14ac:dyDescent="0.3">
      <c r="B24" t="s">
        <v>66</v>
      </c>
      <c r="C24" s="15">
        <v>0.01</v>
      </c>
      <c r="D24" s="15">
        <v>3.5000000000000001E-3</v>
      </c>
      <c r="E24" s="17" t="str">
        <f t="shared" si="1"/>
        <v xml:space="preserve">From 1.0% to 1.35% depending on funds chosen. </v>
      </c>
      <c r="F24" s="17" t="str">
        <f t="shared" si="8"/>
        <v xml:space="preserve">This product has a 4% contribution charge. </v>
      </c>
      <c r="G24" s="69" t="str">
        <f t="shared" si="7"/>
        <v xml:space="preserve"> This includes standard trail of 0% of fund value or any extra trail agreed with provider.</v>
      </c>
      <c r="H24" s="37"/>
      <c r="I24" s="37"/>
      <c r="M24" s="38">
        <v>0</v>
      </c>
      <c r="N24" s="37"/>
      <c r="O24" s="35">
        <v>0.04</v>
      </c>
    </row>
    <row r="25" spans="1:15" x14ac:dyDescent="0.3">
      <c r="B25" t="s">
        <v>67</v>
      </c>
      <c r="C25" s="15">
        <v>0.01</v>
      </c>
      <c r="D25" s="15">
        <v>3.5000000000000001E-3</v>
      </c>
      <c r="E25" s="17" t="str">
        <f t="shared" si="1"/>
        <v xml:space="preserve">From 1.0% to 1.35% depending on funds chosen. </v>
      </c>
      <c r="F25" s="17" t="str">
        <f t="shared" si="8"/>
        <v xml:space="preserve">This product has a 3% contribution charge. </v>
      </c>
      <c r="G25" s="69" t="str">
        <f t="shared" si="7"/>
        <v xml:space="preserve"> This includes standard trail of 0% of fund value or any extra trail agreed with provider.</v>
      </c>
      <c r="H25" s="37"/>
      <c r="I25" s="37"/>
      <c r="M25" s="38">
        <v>0</v>
      </c>
      <c r="N25" s="37"/>
      <c r="O25" s="35">
        <v>0.03</v>
      </c>
    </row>
    <row r="26" spans="1:15" x14ac:dyDescent="0.3">
      <c r="B26" t="s">
        <v>68</v>
      </c>
      <c r="C26" s="15">
        <v>0.01</v>
      </c>
      <c r="D26" s="15">
        <v>3.5000000000000001E-3</v>
      </c>
      <c r="E26" s="17" t="str">
        <f t="shared" si="1"/>
        <v xml:space="preserve">From 1.0% to 1.35% depending on funds chosen. </v>
      </c>
      <c r="F26" s="17" t="str">
        <f t="shared" si="8"/>
        <v xml:space="preserve">This product has a 2% contribution charge. </v>
      </c>
      <c r="G26" s="69" t="str">
        <f t="shared" si="7"/>
        <v xml:space="preserve"> This includes standard trail of 0% of fund value or any extra trail agreed with provider.</v>
      </c>
      <c r="H26" s="37"/>
      <c r="I26" s="37"/>
      <c r="M26" s="38">
        <v>0</v>
      </c>
      <c r="N26" s="37"/>
      <c r="O26" s="35">
        <v>0.02</v>
      </c>
    </row>
    <row r="27" spans="1:15" x14ac:dyDescent="0.3">
      <c r="B27" t="s">
        <v>69</v>
      </c>
      <c r="C27" s="15">
        <v>0.01</v>
      </c>
      <c r="D27" s="15">
        <v>3.5000000000000001E-3</v>
      </c>
      <c r="E27" s="17" t="str">
        <f t="shared" si="1"/>
        <v xml:space="preserve">From 1.0% to 1.35% depending on funds chosen. </v>
      </c>
      <c r="F27" s="17" t="str">
        <f t="shared" si="8"/>
        <v xml:space="preserve">This product has a 1% contribution charge. </v>
      </c>
      <c r="G27" s="69" t="str">
        <f t="shared" si="7"/>
        <v xml:space="preserve"> This includes standard trail of 0% of fund value or any extra trail agreed with provider.</v>
      </c>
      <c r="H27" s="37"/>
      <c r="I27" s="37"/>
      <c r="M27" s="38">
        <v>0</v>
      </c>
      <c r="N27" s="37"/>
      <c r="O27" s="35">
        <v>0.01</v>
      </c>
    </row>
    <row r="28" spans="1:15" x14ac:dyDescent="0.3">
      <c r="B28" t="s">
        <v>70</v>
      </c>
      <c r="C28" s="15">
        <v>1.2500000000000001E-2</v>
      </c>
      <c r="D28" s="15">
        <v>3.5000000000000001E-3</v>
      </c>
      <c r="E28" s="17" t="str">
        <f t="shared" si="1"/>
        <v xml:space="preserve">From 1.25% to 1.60% depending on funds chosen. </v>
      </c>
      <c r="F28" s="17" t="str">
        <f t="shared" si="8"/>
        <v xml:space="preserve">This product has a 2% contribution charge. </v>
      </c>
      <c r="G28" s="69" t="str">
        <f t="shared" si="7"/>
        <v xml:space="preserve"> This includes standard trail of 0.25% of fund value or any extra trail agreed with provider.</v>
      </c>
      <c r="H28" s="37"/>
      <c r="I28" s="37"/>
      <c r="M28" s="38">
        <v>2.5000000000000001E-3</v>
      </c>
      <c r="N28" s="37"/>
      <c r="O28" s="35">
        <v>0.02</v>
      </c>
    </row>
    <row r="29" spans="1:15" x14ac:dyDescent="0.3">
      <c r="B29" t="s">
        <v>71</v>
      </c>
      <c r="C29" s="15">
        <v>1.4999999999999999E-2</v>
      </c>
      <c r="D29" s="15">
        <v>3.5000000000000001E-3</v>
      </c>
      <c r="E29" s="17" t="str">
        <f t="shared" si="1"/>
        <v xml:space="preserve">From 1.50% to 1.85% depending on funds chosen. </v>
      </c>
      <c r="F29" s="17" t="str">
        <f t="shared" si="8"/>
        <v xml:space="preserve">This product has a 2% contribution charge. </v>
      </c>
      <c r="G29" s="69" t="str">
        <f t="shared" si="7"/>
        <v xml:space="preserve"> This includes standard trail of 0.5% of fund value or any extra trail agreed with provider.</v>
      </c>
      <c r="H29" s="37"/>
      <c r="I29" s="37"/>
      <c r="M29" s="38">
        <v>5.0000000000000001E-3</v>
      </c>
      <c r="N29" s="37"/>
      <c r="O29" s="35">
        <v>0.02</v>
      </c>
    </row>
    <row r="30" spans="1:15" x14ac:dyDescent="0.3">
      <c r="B30" t="s">
        <v>72</v>
      </c>
      <c r="C30" s="15">
        <v>1.2500000000000001E-2</v>
      </c>
      <c r="D30" s="15">
        <v>3.5000000000000001E-3</v>
      </c>
      <c r="E30" s="17" t="str">
        <f t="shared" si="1"/>
        <v xml:space="preserve">From 1.25% to 1.60% depending on funds chosen. </v>
      </c>
      <c r="F30" s="17" t="str">
        <f t="shared" si="8"/>
        <v xml:space="preserve">This product has a 0% contribution charge. </v>
      </c>
      <c r="G30" s="69" t="str">
        <f t="shared" si="7"/>
        <v xml:space="preserve"> This includes standard trail of 0.25% of fund value or any extra trail agreed with provider.</v>
      </c>
      <c r="H30" s="37"/>
      <c r="I30" s="37"/>
      <c r="M30" s="38">
        <v>2.5000000000000001E-3</v>
      </c>
      <c r="N30" s="37"/>
      <c r="O30" s="35">
        <v>0</v>
      </c>
    </row>
    <row r="31" spans="1:15" x14ac:dyDescent="0.3">
      <c r="B31" t="s">
        <v>73</v>
      </c>
      <c r="C31" s="41">
        <v>1.4999999999999999E-2</v>
      </c>
      <c r="D31" s="41">
        <v>3.5000000000000001E-3</v>
      </c>
      <c r="E31" s="17" t="str">
        <f t="shared" si="1"/>
        <v xml:space="preserve">From 1.50% to 1.85% depending on funds chosen. </v>
      </c>
      <c r="F31" s="17" t="str">
        <f t="shared" si="8"/>
        <v xml:space="preserve">This product has a 0% contribution charge. </v>
      </c>
      <c r="G31" s="69" t="str">
        <f t="shared" si="7"/>
        <v xml:space="preserve"> This includes standard trail of 0.5% of fund value or any extra trail agreed with provider.</v>
      </c>
      <c r="H31" s="37"/>
      <c r="I31" s="37"/>
      <c r="M31" s="38">
        <v>5.0000000000000001E-3</v>
      </c>
      <c r="N31" s="37"/>
      <c r="O31" s="35">
        <v>0</v>
      </c>
    </row>
    <row r="32" spans="1:15" x14ac:dyDescent="0.3">
      <c r="B32" t="s">
        <v>55</v>
      </c>
      <c r="C32" s="41">
        <v>0.01</v>
      </c>
      <c r="D32" s="41">
        <v>0</v>
      </c>
      <c r="E32" s="17">
        <f t="shared" si="1"/>
        <v>0.01</v>
      </c>
      <c r="F32" s="70" t="s">
        <v>317</v>
      </c>
      <c r="G32" s="69" t="str">
        <f t="shared" si="7"/>
        <v xml:space="preserve"> This includes standard trail of 0% of fund value or any extra trail agreed with provider.</v>
      </c>
      <c r="H32" s="37"/>
      <c r="I32" s="37"/>
      <c r="M32" s="38">
        <v>0</v>
      </c>
      <c r="N32" s="37"/>
      <c r="O32" s="35">
        <v>0</v>
      </c>
    </row>
    <row r="33" spans="1:25" x14ac:dyDescent="0.3">
      <c r="B33" t="s">
        <v>56</v>
      </c>
      <c r="C33" s="15">
        <v>0.01</v>
      </c>
      <c r="D33" s="15">
        <v>0</v>
      </c>
      <c r="E33" s="17">
        <f t="shared" si="1"/>
        <v>0.01</v>
      </c>
      <c r="F33" s="17" t="str">
        <f>"This product has a "&amp;O33*100&amp;"% contribution charge. "</f>
        <v xml:space="preserve">This product has a 0% contribution charge. </v>
      </c>
      <c r="G33" s="69" t="str">
        <f t="shared" si="7"/>
        <v xml:space="preserve"> This includes standard trail of 0% of fund value or any extra trail agreed with provider.</v>
      </c>
      <c r="H33" s="37"/>
      <c r="I33" s="37"/>
      <c r="M33" s="38">
        <v>0</v>
      </c>
      <c r="N33" s="37"/>
      <c r="O33" s="35">
        <v>0</v>
      </c>
    </row>
    <row r="34" spans="1:25" x14ac:dyDescent="0.3">
      <c r="B34" t="s">
        <v>57</v>
      </c>
      <c r="C34" s="15">
        <v>0.01</v>
      </c>
      <c r="D34" s="15">
        <v>0</v>
      </c>
      <c r="E34" s="17">
        <f t="shared" si="1"/>
        <v>0.01</v>
      </c>
      <c r="F34" s="17" t="str">
        <f t="shared" ref="F34:F38" si="9">"This product has a "&amp;O34*100&amp;"% contribution charge. "</f>
        <v xml:space="preserve">This product has a 2% contribution charge. </v>
      </c>
      <c r="G34" s="69" t="str">
        <f t="shared" si="7"/>
        <v xml:space="preserve"> This includes standard trail of 0% of fund value or any extra trail agreed with provider.</v>
      </c>
      <c r="H34" s="37"/>
      <c r="I34" s="37"/>
      <c r="M34" s="38">
        <v>0</v>
      </c>
      <c r="N34" s="37"/>
      <c r="O34" s="35">
        <v>0.02</v>
      </c>
    </row>
    <row r="35" spans="1:25" x14ac:dyDescent="0.3">
      <c r="B35" t="s">
        <v>58</v>
      </c>
      <c r="C35" s="15">
        <v>0.01</v>
      </c>
      <c r="D35" s="15">
        <v>0</v>
      </c>
      <c r="E35" s="17">
        <f t="shared" si="1"/>
        <v>0.01</v>
      </c>
      <c r="F35" s="17" t="str">
        <f t="shared" si="9"/>
        <v xml:space="preserve">This product has a 5% contribution charge. </v>
      </c>
      <c r="G35" s="69" t="str">
        <f t="shared" si="7"/>
        <v xml:space="preserve"> This includes standard trail of 0% of fund value or any extra trail agreed with provider.</v>
      </c>
      <c r="H35" s="37"/>
      <c r="I35" s="37"/>
      <c r="M35" s="38">
        <v>0</v>
      </c>
      <c r="N35" s="37"/>
      <c r="O35" s="35">
        <v>0.05</v>
      </c>
    </row>
    <row r="36" spans="1:25" x14ac:dyDescent="0.3">
      <c r="B36" t="s">
        <v>59</v>
      </c>
      <c r="C36" s="15">
        <v>0.01</v>
      </c>
      <c r="D36" s="15">
        <v>0</v>
      </c>
      <c r="E36" s="17">
        <f t="shared" si="1"/>
        <v>0.01</v>
      </c>
      <c r="F36" s="17" t="str">
        <f t="shared" si="9"/>
        <v xml:space="preserve">This product has a 4% contribution charge. </v>
      </c>
      <c r="G36" s="69" t="str">
        <f t="shared" si="7"/>
        <v xml:space="preserve"> This includes standard trail of 0% of fund value or any extra trail agreed with provider.</v>
      </c>
      <c r="H36" s="37"/>
      <c r="I36" s="37"/>
      <c r="M36" s="38">
        <v>0</v>
      </c>
      <c r="N36" s="37"/>
      <c r="O36" s="35">
        <v>0.04</v>
      </c>
    </row>
    <row r="37" spans="1:25" x14ac:dyDescent="0.3">
      <c r="B37" t="s">
        <v>60</v>
      </c>
      <c r="C37" s="15">
        <v>0.01</v>
      </c>
      <c r="D37" s="15">
        <v>0</v>
      </c>
      <c r="E37" s="17">
        <f t="shared" si="1"/>
        <v>0.01</v>
      </c>
      <c r="F37" s="17" t="str">
        <f t="shared" si="9"/>
        <v xml:space="preserve">This product has a 3% contribution charge. </v>
      </c>
      <c r="G37" s="69" t="str">
        <f t="shared" si="7"/>
        <v xml:space="preserve"> This includes standard trail of 0% of fund value or any extra trail agreed with provider.</v>
      </c>
      <c r="H37" s="37"/>
      <c r="I37" s="37"/>
      <c r="M37" s="38">
        <v>0</v>
      </c>
      <c r="N37" s="37"/>
      <c r="O37" s="35">
        <v>0.03</v>
      </c>
    </row>
    <row r="38" spans="1:25" x14ac:dyDescent="0.3">
      <c r="B38" t="s">
        <v>61</v>
      </c>
      <c r="C38" s="15">
        <v>0.01</v>
      </c>
      <c r="D38" s="15">
        <v>0</v>
      </c>
      <c r="E38" s="17">
        <f t="shared" si="1"/>
        <v>0.01</v>
      </c>
      <c r="F38" s="17" t="str">
        <f t="shared" si="9"/>
        <v xml:space="preserve">This product has a 1% contribution charge. </v>
      </c>
      <c r="G38" s="69" t="str">
        <f t="shared" si="7"/>
        <v xml:space="preserve"> This includes standard trail of 0% of fund value or any extra trail agreed with provider.</v>
      </c>
      <c r="H38" s="37"/>
      <c r="I38" s="37"/>
      <c r="M38" s="38">
        <v>0</v>
      </c>
      <c r="N38" s="37"/>
      <c r="O38" s="35">
        <v>0.01</v>
      </c>
    </row>
    <row r="39" spans="1:25" s="32" customFormat="1" x14ac:dyDescent="0.3">
      <c r="A39" s="72"/>
      <c r="B39" s="32" t="s">
        <v>62</v>
      </c>
      <c r="C39" s="34">
        <v>0.01</v>
      </c>
      <c r="D39" s="34">
        <v>3.5000000000000001E-3</v>
      </c>
      <c r="E39" s="17" t="str">
        <f t="shared" si="1"/>
        <v xml:space="preserve">From 1.0% to 1.35% depending on funds chosen. </v>
      </c>
      <c r="F39" s="70" t="s">
        <v>317</v>
      </c>
      <c r="G39" s="69" t="str">
        <f t="shared" si="7"/>
        <v xml:space="preserve"> This includes standard trail of 0% of fund value or any extra trail agreed with provider.</v>
      </c>
      <c r="H39" s="37"/>
      <c r="I39" s="37"/>
      <c r="J39"/>
      <c r="K39"/>
      <c r="L39"/>
      <c r="M39" s="38">
        <v>0</v>
      </c>
      <c r="N39" s="37"/>
      <c r="O39" s="35"/>
      <c r="P39"/>
      <c r="Q39"/>
      <c r="R39"/>
      <c r="S39"/>
    </row>
    <row r="40" spans="1:25" x14ac:dyDescent="0.3">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x14ac:dyDescent="0.3">
      <c r="A41" s="29" t="s">
        <v>214</v>
      </c>
      <c r="B41" t="s">
        <v>101</v>
      </c>
      <c r="C41" s="15">
        <v>0.01</v>
      </c>
      <c r="D41" s="15">
        <v>0</v>
      </c>
      <c r="E41" s="17">
        <f t="shared" si="1"/>
        <v>0.01</v>
      </c>
      <c r="F41" s="79" t="s">
        <v>296</v>
      </c>
      <c r="G41" s="37"/>
      <c r="H41" s="37" t="s">
        <v>307</v>
      </c>
      <c r="I41" s="37"/>
      <c r="M41" s="37"/>
      <c r="N41" s="37"/>
      <c r="O41" s="35">
        <v>0.05</v>
      </c>
    </row>
    <row r="42" spans="1:25" x14ac:dyDescent="0.3">
      <c r="B42" t="s">
        <v>102</v>
      </c>
      <c r="C42" s="15">
        <v>0.01</v>
      </c>
      <c r="D42" s="15">
        <v>0</v>
      </c>
      <c r="E42" s="17">
        <f t="shared" si="1"/>
        <v>0.01</v>
      </c>
      <c r="F42" s="79" t="s">
        <v>295</v>
      </c>
      <c r="G42" s="37"/>
      <c r="H42" s="37"/>
      <c r="I42" s="37"/>
      <c r="M42" s="37"/>
      <c r="N42" s="37"/>
      <c r="O42" s="35">
        <v>0.01</v>
      </c>
    </row>
    <row r="43" spans="1:25" x14ac:dyDescent="0.3">
      <c r="B43" t="s">
        <v>103</v>
      </c>
      <c r="C43" s="15">
        <v>0.01</v>
      </c>
      <c r="D43" s="15">
        <v>0</v>
      </c>
      <c r="E43" s="17">
        <f t="shared" si="1"/>
        <v>0.01</v>
      </c>
      <c r="F43" s="79" t="s">
        <v>297</v>
      </c>
      <c r="G43" s="37"/>
      <c r="H43" s="37"/>
      <c r="I43" s="37"/>
      <c r="M43" s="37"/>
      <c r="N43" s="37"/>
      <c r="O43" s="35">
        <v>0</v>
      </c>
    </row>
    <row r="44" spans="1:25" x14ac:dyDescent="0.3">
      <c r="B44" t="s">
        <v>104</v>
      </c>
      <c r="C44" s="15">
        <v>0.01</v>
      </c>
      <c r="D44" s="15">
        <v>0</v>
      </c>
      <c r="E44" s="17">
        <f t="shared" si="1"/>
        <v>0.01</v>
      </c>
      <c r="F44" s="79" t="s">
        <v>296</v>
      </c>
      <c r="G44" s="37"/>
      <c r="H44" s="37"/>
      <c r="I44" s="37"/>
      <c r="M44" s="37"/>
      <c r="N44" s="37"/>
      <c r="O44" s="35">
        <v>0.05</v>
      </c>
    </row>
    <row r="45" spans="1:25" x14ac:dyDescent="0.3">
      <c r="B45" t="s">
        <v>105</v>
      </c>
      <c r="C45" s="15">
        <v>0.01</v>
      </c>
      <c r="D45" s="15">
        <v>0</v>
      </c>
      <c r="E45" s="17">
        <f t="shared" si="1"/>
        <v>0.01</v>
      </c>
      <c r="F45" s="79" t="s">
        <v>298</v>
      </c>
      <c r="G45" s="37"/>
      <c r="H45" s="37"/>
      <c r="I45" s="37"/>
      <c r="M45" s="37"/>
      <c r="N45" s="37"/>
      <c r="O45" s="35">
        <v>0.04</v>
      </c>
    </row>
    <row r="46" spans="1:25" x14ac:dyDescent="0.3">
      <c r="B46" t="s">
        <v>299</v>
      </c>
      <c r="C46" s="15">
        <v>0.01</v>
      </c>
      <c r="D46" s="15">
        <v>0</v>
      </c>
      <c r="E46" s="17">
        <f t="shared" si="1"/>
        <v>0.01</v>
      </c>
      <c r="F46" s="79" t="s">
        <v>300</v>
      </c>
      <c r="G46" s="37"/>
      <c r="H46" s="37"/>
      <c r="I46" s="37"/>
      <c r="M46" s="37"/>
      <c r="N46" s="37"/>
      <c r="O46" s="35"/>
    </row>
    <row r="47" spans="1:25" x14ac:dyDescent="0.3">
      <c r="B47" t="s">
        <v>106</v>
      </c>
      <c r="C47" s="15">
        <v>0.01</v>
      </c>
      <c r="D47" s="15">
        <v>0</v>
      </c>
      <c r="E47" s="17">
        <f t="shared" ref="E47:E111" si="10">IF(D47=0,C47,"From "&amp;TEXT(ROUND(C47*100,2),"#0.#0")&amp;"% to "&amp;TEXT(ROUND((D47+C47)*100,2),"#0.#0")&amp;"% depending on funds chosen. ")</f>
        <v>0.01</v>
      </c>
      <c r="F47" s="79" t="s">
        <v>215</v>
      </c>
      <c r="G47" s="37"/>
      <c r="H47" s="37"/>
      <c r="I47" s="37"/>
      <c r="M47" s="37"/>
      <c r="N47" s="37"/>
      <c r="O47" s="35"/>
    </row>
    <row r="48" spans="1:25" x14ac:dyDescent="0.3">
      <c r="B48" t="s">
        <v>107</v>
      </c>
      <c r="C48" s="15">
        <v>0.01</v>
      </c>
      <c r="D48" s="15">
        <v>0</v>
      </c>
      <c r="E48" s="17">
        <f t="shared" si="10"/>
        <v>0.01</v>
      </c>
      <c r="F48" s="79" t="s">
        <v>216</v>
      </c>
      <c r="G48" s="37"/>
      <c r="H48" s="37"/>
      <c r="I48" s="37"/>
      <c r="M48" s="37"/>
      <c r="N48" s="37"/>
      <c r="O48" s="35"/>
    </row>
    <row r="49" spans="2:15" x14ac:dyDescent="0.3">
      <c r="B49" t="s">
        <v>108</v>
      </c>
      <c r="C49" s="15">
        <v>0.01</v>
      </c>
      <c r="D49" s="15">
        <v>0</v>
      </c>
      <c r="E49" s="17">
        <f t="shared" si="10"/>
        <v>0.01</v>
      </c>
      <c r="F49" s="79" t="s">
        <v>217</v>
      </c>
      <c r="G49" s="37"/>
      <c r="H49" s="37"/>
      <c r="I49" s="37"/>
      <c r="M49" s="37"/>
      <c r="N49" s="37"/>
      <c r="O49" s="35"/>
    </row>
    <row r="50" spans="2:15" x14ac:dyDescent="0.3">
      <c r="B50" t="s">
        <v>109</v>
      </c>
      <c r="C50" s="15">
        <v>0.01</v>
      </c>
      <c r="D50" s="15">
        <v>0</v>
      </c>
      <c r="E50" s="17">
        <f t="shared" si="10"/>
        <v>0.01</v>
      </c>
      <c r="F50" s="79" t="s">
        <v>301</v>
      </c>
      <c r="G50" s="37"/>
      <c r="H50" s="37"/>
      <c r="I50" s="37"/>
      <c r="M50" s="37"/>
      <c r="N50" s="37"/>
      <c r="O50" s="35">
        <v>0</v>
      </c>
    </row>
    <row r="51" spans="2:15" x14ac:dyDescent="0.3">
      <c r="B51" t="s">
        <v>110</v>
      </c>
      <c r="C51" s="15">
        <v>7.4999999999999997E-3</v>
      </c>
      <c r="D51" s="15">
        <v>0</v>
      </c>
      <c r="E51" s="17">
        <f t="shared" si="10"/>
        <v>7.4999999999999997E-3</v>
      </c>
      <c r="F51" s="79" t="s">
        <v>301</v>
      </c>
      <c r="G51" s="37"/>
      <c r="H51" s="37"/>
      <c r="I51" s="37"/>
      <c r="M51" s="37"/>
      <c r="N51" s="37"/>
      <c r="O51" s="35">
        <v>0</v>
      </c>
    </row>
    <row r="52" spans="2:15" x14ac:dyDescent="0.3">
      <c r="B52" t="s">
        <v>111</v>
      </c>
      <c r="C52" s="15">
        <v>7.4999999999999997E-3</v>
      </c>
      <c r="D52" s="15">
        <v>0</v>
      </c>
      <c r="E52" s="17">
        <f t="shared" si="10"/>
        <v>7.4999999999999997E-3</v>
      </c>
      <c r="F52" s="79" t="s">
        <v>302</v>
      </c>
      <c r="G52" s="37"/>
      <c r="H52" s="37"/>
      <c r="I52" s="37"/>
      <c r="M52" s="37"/>
      <c r="N52" s="37"/>
      <c r="O52" s="35">
        <v>0.01</v>
      </c>
    </row>
    <row r="53" spans="2:15" x14ac:dyDescent="0.3">
      <c r="B53" t="s">
        <v>112</v>
      </c>
      <c r="C53" s="15">
        <v>0.01</v>
      </c>
      <c r="D53" s="15">
        <v>0</v>
      </c>
      <c r="E53" s="17">
        <f t="shared" si="10"/>
        <v>0.01</v>
      </c>
      <c r="F53" s="79" t="s">
        <v>301</v>
      </c>
      <c r="G53" s="37"/>
      <c r="H53" s="37"/>
      <c r="I53" s="37"/>
      <c r="M53" s="37"/>
      <c r="N53" s="37"/>
      <c r="O53" s="35">
        <v>0</v>
      </c>
    </row>
    <row r="54" spans="2:15" x14ac:dyDescent="0.3">
      <c r="B54" t="s">
        <v>113</v>
      </c>
      <c r="C54" s="15">
        <v>0.01</v>
      </c>
      <c r="D54" s="15">
        <v>0</v>
      </c>
      <c r="E54" s="17">
        <f t="shared" si="10"/>
        <v>0.01</v>
      </c>
      <c r="F54" s="79" t="s">
        <v>302</v>
      </c>
      <c r="G54" s="37"/>
      <c r="H54" s="37"/>
      <c r="I54" s="37"/>
      <c r="M54" s="37"/>
      <c r="N54" s="37"/>
      <c r="O54" s="35">
        <v>0.01</v>
      </c>
    </row>
    <row r="55" spans="2:15" x14ac:dyDescent="0.3">
      <c r="B55" t="s">
        <v>114</v>
      </c>
      <c r="C55" s="15">
        <v>0.01</v>
      </c>
      <c r="D55" s="15">
        <v>0</v>
      </c>
      <c r="E55" s="17">
        <f t="shared" si="10"/>
        <v>0.01</v>
      </c>
      <c r="F55" s="79" t="s">
        <v>294</v>
      </c>
      <c r="G55" s="37"/>
      <c r="H55" s="37"/>
      <c r="I55" s="37"/>
      <c r="M55" s="37"/>
      <c r="N55" s="37"/>
      <c r="O55" s="35">
        <v>0.02</v>
      </c>
    </row>
    <row r="56" spans="2:15" x14ac:dyDescent="0.3">
      <c r="B56" t="s">
        <v>115</v>
      </c>
      <c r="C56" s="15">
        <v>0.01</v>
      </c>
      <c r="D56" s="15">
        <v>0</v>
      </c>
      <c r="E56" s="17">
        <f t="shared" si="10"/>
        <v>0.01</v>
      </c>
      <c r="F56" s="79" t="s">
        <v>303</v>
      </c>
      <c r="G56" s="37"/>
      <c r="H56" s="37"/>
      <c r="I56" s="37"/>
      <c r="M56" s="37"/>
      <c r="N56" s="37"/>
      <c r="O56" s="35">
        <v>0.03</v>
      </c>
    </row>
    <row r="57" spans="2:15" x14ac:dyDescent="0.3">
      <c r="B57" t="s">
        <v>116</v>
      </c>
      <c r="C57" s="15">
        <v>5.0000000000000001E-3</v>
      </c>
      <c r="D57" s="15">
        <v>0</v>
      </c>
      <c r="E57" s="17">
        <f t="shared" si="10"/>
        <v>5.0000000000000001E-3</v>
      </c>
      <c r="F57" s="79" t="s">
        <v>301</v>
      </c>
      <c r="G57" s="37"/>
      <c r="H57" s="37"/>
      <c r="I57" s="37"/>
      <c r="M57" s="37"/>
      <c r="N57" s="37"/>
      <c r="O57" s="35">
        <v>0</v>
      </c>
    </row>
    <row r="58" spans="2:15" x14ac:dyDescent="0.3">
      <c r="B58" t="s">
        <v>117</v>
      </c>
      <c r="C58" s="15">
        <v>0.01</v>
      </c>
      <c r="D58" s="15">
        <v>0</v>
      </c>
      <c r="E58" s="17">
        <f t="shared" si="10"/>
        <v>0.01</v>
      </c>
      <c r="F58" s="79" t="s">
        <v>215</v>
      </c>
      <c r="G58" s="37"/>
      <c r="H58" s="37"/>
      <c r="I58" s="37"/>
      <c r="M58" s="37"/>
      <c r="N58" s="37"/>
      <c r="O58" s="35"/>
    </row>
    <row r="59" spans="2:15" x14ac:dyDescent="0.3">
      <c r="B59" t="s">
        <v>118</v>
      </c>
      <c r="C59" s="15">
        <v>0.01</v>
      </c>
      <c r="D59" s="15">
        <v>0</v>
      </c>
      <c r="E59" s="17">
        <f t="shared" si="10"/>
        <v>0.01</v>
      </c>
      <c r="F59" s="79" t="s">
        <v>301</v>
      </c>
      <c r="G59" s="37"/>
      <c r="H59" s="37"/>
      <c r="I59" s="37"/>
      <c r="M59" s="37"/>
      <c r="N59" s="37"/>
      <c r="O59" s="35">
        <v>0</v>
      </c>
    </row>
    <row r="60" spans="2:15" x14ac:dyDescent="0.3">
      <c r="B60" t="s">
        <v>119</v>
      </c>
      <c r="C60" s="15">
        <v>7.4999999999999997E-3</v>
      </c>
      <c r="D60" s="15">
        <v>0</v>
      </c>
      <c r="E60" s="17">
        <f t="shared" si="10"/>
        <v>7.4999999999999997E-3</v>
      </c>
      <c r="F60" s="79" t="s">
        <v>301</v>
      </c>
      <c r="G60" s="37"/>
      <c r="H60" s="37"/>
      <c r="I60" s="37"/>
      <c r="M60" s="37"/>
      <c r="N60" s="37"/>
      <c r="O60" s="35">
        <v>0</v>
      </c>
    </row>
    <row r="61" spans="2:15" x14ac:dyDescent="0.3">
      <c r="B61" t="s">
        <v>304</v>
      </c>
      <c r="C61" s="15">
        <v>0.01</v>
      </c>
      <c r="D61" s="15">
        <v>0</v>
      </c>
      <c r="E61" s="17">
        <f t="shared" si="10"/>
        <v>0.01</v>
      </c>
      <c r="F61" s="79" t="s">
        <v>215</v>
      </c>
      <c r="G61" s="37"/>
      <c r="H61" s="37"/>
      <c r="I61" s="37"/>
      <c r="M61" s="37"/>
      <c r="N61" s="37"/>
      <c r="O61" s="35"/>
    </row>
    <row r="62" spans="2:15" x14ac:dyDescent="0.3">
      <c r="B62" t="s">
        <v>120</v>
      </c>
      <c r="C62" s="15">
        <v>0.01</v>
      </c>
      <c r="D62" s="15">
        <v>1.6E-2</v>
      </c>
      <c r="E62" s="17" t="str">
        <f t="shared" si="10"/>
        <v xml:space="preserve">From 1.0% to 2.60% depending on funds chosen. </v>
      </c>
      <c r="F62" s="79" t="s">
        <v>215</v>
      </c>
      <c r="G62" s="37"/>
      <c r="H62" s="37"/>
      <c r="I62" s="37"/>
      <c r="M62" s="37"/>
      <c r="N62" s="37"/>
      <c r="O62" s="35"/>
    </row>
    <row r="63" spans="2:15" x14ac:dyDescent="0.3">
      <c r="B63" t="s">
        <v>121</v>
      </c>
      <c r="C63" s="15">
        <v>0.01</v>
      </c>
      <c r="D63" s="15">
        <v>1.6E-2</v>
      </c>
      <c r="E63" s="17" t="str">
        <f t="shared" si="10"/>
        <v xml:space="preserve">From 1.0% to 2.60% depending on funds chosen. </v>
      </c>
      <c r="F63" s="79" t="s">
        <v>218</v>
      </c>
      <c r="G63" s="37"/>
      <c r="H63" s="37"/>
      <c r="I63" s="37"/>
      <c r="M63" s="37"/>
      <c r="N63" s="37"/>
      <c r="O63" s="35"/>
    </row>
    <row r="64" spans="2:15" x14ac:dyDescent="0.3">
      <c r="B64" t="s">
        <v>122</v>
      </c>
      <c r="C64" s="15">
        <v>0.01</v>
      </c>
      <c r="D64" s="15">
        <v>1.6E-2</v>
      </c>
      <c r="E64" s="17" t="str">
        <f t="shared" si="10"/>
        <v xml:space="preserve">From 1.0% to 2.60% depending on funds chosen. </v>
      </c>
      <c r="F64" s="79" t="s">
        <v>217</v>
      </c>
      <c r="G64" s="37"/>
      <c r="H64" s="37"/>
      <c r="I64" s="37"/>
      <c r="M64" s="37"/>
      <c r="N64" s="37"/>
      <c r="O64" s="35"/>
    </row>
    <row r="65" spans="1:21" x14ac:dyDescent="0.3">
      <c r="B65" t="s">
        <v>123</v>
      </c>
      <c r="C65" s="15">
        <v>0.01</v>
      </c>
      <c r="D65" s="15">
        <v>1.6E-2</v>
      </c>
      <c r="E65" s="17" t="str">
        <f t="shared" si="10"/>
        <v xml:space="preserve">From 1.0% to 2.60% depending on funds chosen. </v>
      </c>
      <c r="F65" s="37"/>
      <c r="G65" s="37"/>
      <c r="H65" s="37"/>
      <c r="I65" s="37"/>
      <c r="M65" s="37"/>
      <c r="N65" s="37"/>
      <c r="O65" s="35">
        <v>0</v>
      </c>
    </row>
    <row r="66" spans="1:21" x14ac:dyDescent="0.3">
      <c r="B66" t="s">
        <v>124</v>
      </c>
      <c r="C66" s="15">
        <v>1.2E-2</v>
      </c>
      <c r="D66" s="15">
        <v>1.15E-2</v>
      </c>
      <c r="E66" s="17" t="str">
        <f t="shared" si="10"/>
        <v xml:space="preserve">From 1.20% to 2.35% depending on funds chosen. </v>
      </c>
      <c r="F66" s="17"/>
      <c r="G66" s="110" t="s">
        <v>308</v>
      </c>
      <c r="H66" s="37"/>
      <c r="I66" s="37"/>
      <c r="M66" s="37"/>
      <c r="N66" s="37"/>
      <c r="O66" s="35">
        <v>0</v>
      </c>
    </row>
    <row r="67" spans="1:21" x14ac:dyDescent="0.3">
      <c r="B67" t="s">
        <v>125</v>
      </c>
      <c r="C67" s="15">
        <v>9.4999999999999998E-3</v>
      </c>
      <c r="D67" s="15">
        <f>D66</f>
        <v>1.15E-2</v>
      </c>
      <c r="E67" s="17" t="str">
        <f t="shared" si="10"/>
        <v xml:space="preserve">From 0.95% to 2.10% depending on funds chosen. </v>
      </c>
      <c r="F67" s="17"/>
      <c r="G67" s="110" t="s">
        <v>308</v>
      </c>
      <c r="H67" s="37"/>
      <c r="I67" s="37"/>
      <c r="M67" s="37"/>
      <c r="N67" s="37"/>
      <c r="O67" s="35">
        <v>0</v>
      </c>
    </row>
    <row r="68" spans="1:21" x14ac:dyDescent="0.3">
      <c r="B68" t="s">
        <v>126</v>
      </c>
      <c r="C68" s="15">
        <v>7.0000000000000001E-3</v>
      </c>
      <c r="D68" s="15">
        <f>D67</f>
        <v>1.15E-2</v>
      </c>
      <c r="E68" s="17" t="str">
        <f t="shared" si="10"/>
        <v xml:space="preserve">From 0.70% to 1.85% depending on funds chosen. </v>
      </c>
      <c r="F68" s="17"/>
      <c r="G68" s="110" t="s">
        <v>308</v>
      </c>
      <c r="H68" s="37"/>
      <c r="I68" s="37"/>
      <c r="M68" s="37"/>
      <c r="N68" s="37"/>
      <c r="O68" s="35">
        <v>0</v>
      </c>
    </row>
    <row r="69" spans="1:21" x14ac:dyDescent="0.3">
      <c r="B69" t="s">
        <v>127</v>
      </c>
      <c r="C69" s="15">
        <v>4.4999999999999997E-3</v>
      </c>
      <c r="D69" s="15">
        <f>D68</f>
        <v>1.15E-2</v>
      </c>
      <c r="E69" s="17" t="str">
        <f t="shared" si="10"/>
        <v xml:space="preserve">From 0.45% to 1.60% depending on funds chosen. </v>
      </c>
      <c r="F69" s="17"/>
      <c r="G69" s="110" t="s">
        <v>308</v>
      </c>
      <c r="H69" s="37"/>
      <c r="I69" s="37"/>
      <c r="M69" s="37"/>
      <c r="N69" s="37"/>
      <c r="O69" s="35">
        <v>0</v>
      </c>
    </row>
    <row r="70" spans="1:21" x14ac:dyDescent="0.3">
      <c r="B70" t="s">
        <v>128</v>
      </c>
      <c r="C70" s="15">
        <v>1.4500000000000001E-2</v>
      </c>
      <c r="D70" s="15">
        <v>9.4999999999999998E-3</v>
      </c>
      <c r="E70" s="17" t="str">
        <f t="shared" si="10"/>
        <v xml:space="preserve">From 1.45% to 2.40% depending on funds chosen. </v>
      </c>
      <c r="F70" s="17"/>
      <c r="G70" s="110" t="s">
        <v>308</v>
      </c>
      <c r="H70" s="37"/>
      <c r="I70" s="37"/>
      <c r="M70" s="37"/>
      <c r="N70" s="37"/>
      <c r="O70" s="35">
        <v>0</v>
      </c>
    </row>
    <row r="71" spans="1:21" x14ac:dyDescent="0.3">
      <c r="B71" t="s">
        <v>129</v>
      </c>
      <c r="C71" s="15">
        <v>9.5000000000000015E-3</v>
      </c>
      <c r="D71" s="15">
        <f>D70</f>
        <v>9.4999999999999998E-3</v>
      </c>
      <c r="E71" s="17" t="str">
        <f t="shared" si="10"/>
        <v xml:space="preserve">From 0.95% to 1.90% depending on funds chosen. </v>
      </c>
      <c r="F71" s="17"/>
      <c r="G71" s="110" t="s">
        <v>308</v>
      </c>
      <c r="H71" s="37"/>
      <c r="I71" s="37"/>
      <c r="M71" s="37"/>
      <c r="N71" s="37"/>
      <c r="O71" s="35">
        <v>0</v>
      </c>
    </row>
    <row r="72" spans="1:21" s="32" customFormat="1" x14ac:dyDescent="0.3">
      <c r="A72" s="72"/>
      <c r="B72" s="32" t="s">
        <v>130</v>
      </c>
      <c r="C72" s="34">
        <v>1.2500000000000001E-2</v>
      </c>
      <c r="D72" s="34">
        <v>1.6E-2</v>
      </c>
      <c r="E72" s="17" t="str">
        <f t="shared" si="10"/>
        <v xml:space="preserve">From 1.25% to 2.85% depending on funds chosen. </v>
      </c>
      <c r="F72" s="17"/>
      <c r="G72" s="37"/>
      <c r="H72" s="37"/>
      <c r="I72" s="37"/>
      <c r="J72"/>
      <c r="K72"/>
      <c r="L72"/>
      <c r="M72" s="37"/>
      <c r="N72" s="37"/>
      <c r="O72" s="35">
        <v>0</v>
      </c>
      <c r="P72"/>
      <c r="Q72"/>
      <c r="R72"/>
      <c r="S72"/>
      <c r="T72"/>
      <c r="U72"/>
    </row>
    <row r="73" spans="1:21" x14ac:dyDescent="0.3">
      <c r="B73" s="29"/>
      <c r="C73" s="29"/>
      <c r="D73" s="29"/>
      <c r="E73" s="29"/>
      <c r="F73" s="29"/>
      <c r="G73" s="29"/>
      <c r="H73" s="29"/>
      <c r="I73" s="29"/>
      <c r="J73" s="29"/>
      <c r="K73" s="29"/>
      <c r="L73" s="29"/>
      <c r="M73" s="29"/>
      <c r="N73" s="29"/>
      <c r="O73" s="29"/>
    </row>
    <row r="74" spans="1:21" x14ac:dyDescent="0.3">
      <c r="A74" s="29" t="s">
        <v>203</v>
      </c>
      <c r="B74" t="s">
        <v>74</v>
      </c>
      <c r="C74" s="15">
        <v>0.01</v>
      </c>
      <c r="D74" s="15">
        <v>0</v>
      </c>
      <c r="E74" s="17">
        <f t="shared" si="10"/>
        <v>0.01</v>
      </c>
      <c r="F74" s="79" t="str">
        <f>"This product has a contribution charge of "&amp;TEXT(O74,"0.00%")&amp;" on future contributions, not including transfers."</f>
        <v>This product has a contribution charge of 5.00% on future contributions, not including transfers.</v>
      </c>
      <c r="G74" s="37"/>
      <c r="H74" s="37"/>
      <c r="I74" s="37"/>
      <c r="M74" s="37"/>
      <c r="N74" s="37"/>
      <c r="O74" s="35">
        <v>0.05</v>
      </c>
    </row>
    <row r="75" spans="1:21" x14ac:dyDescent="0.3">
      <c r="B75" t="s">
        <v>75</v>
      </c>
      <c r="C75" s="15">
        <v>0.01</v>
      </c>
      <c r="D75" s="15">
        <v>9.4999999999999998E-3</v>
      </c>
      <c r="E75" s="17" t="str">
        <f t="shared" si="10"/>
        <v xml:space="preserve">From 1.0% to 1.95% depending on funds chosen. </v>
      </c>
      <c r="F75" s="79" t="str">
        <f>"This product has a contribution charge on future contributions excluding transfers which is tiered based on contribution amount. The max contribution charge is "&amp;TEXT(O75,"0.00%")&amp;"."</f>
        <v>This product has a contribution charge on future contributions excluding transfers which is tiered based on contribution amount. The max contribution charge is 5.00%.</v>
      </c>
      <c r="G75" s="37"/>
      <c r="H75" s="37"/>
      <c r="I75" s="37"/>
      <c r="M75" s="37"/>
      <c r="N75" s="37"/>
      <c r="O75" s="35">
        <v>0.05</v>
      </c>
    </row>
    <row r="76" spans="1:21" x14ac:dyDescent="0.3">
      <c r="B76" t="s">
        <v>76</v>
      </c>
      <c r="C76" s="15">
        <v>0.01</v>
      </c>
      <c r="D76" s="15">
        <v>9.4999999999999998E-3</v>
      </c>
      <c r="E76" s="17" t="str">
        <f t="shared" si="10"/>
        <v xml:space="preserve">From 1.0% to 1.95% depending on funds chosen. </v>
      </c>
      <c r="F76" s="79" t="str">
        <f>"This product has a contribution charge on future contributions excluding transfers which is tiered based on contribution amount. The max contribution charge is "&amp;TEXT(O76,"0.00%")&amp;"."</f>
        <v>This product has a contribution charge on future contributions excluding transfers which is tiered based on contribution amount. The max contribution charge is 3.75%.</v>
      </c>
      <c r="G76" s="37"/>
      <c r="H76" s="37"/>
      <c r="I76" s="37"/>
      <c r="M76" s="37"/>
      <c r="N76" s="37"/>
      <c r="O76" s="35">
        <v>3.7499999999999999E-2</v>
      </c>
    </row>
    <row r="77" spans="1:21" x14ac:dyDescent="0.3">
      <c r="B77" t="s">
        <v>77</v>
      </c>
      <c r="C77" s="15">
        <v>0.01</v>
      </c>
      <c r="D77" s="15">
        <v>9.4999999999999998E-3</v>
      </c>
      <c r="E77" s="17" t="str">
        <f t="shared" si="10"/>
        <v xml:space="preserve">From 1.0% to 1.95% depending on funds chosen. </v>
      </c>
      <c r="F77" s="79" t="str">
        <f>"This product has a contribution charge on future contributions excluding transfers which is tiered based on contribution amount. The max contribution charge is "&amp;TEXT(O77,"0.00%")&amp;"."</f>
        <v>This product has a contribution charge on future contributions excluding transfers which is tiered based on contribution amount. The max contribution charge is 2.50%.</v>
      </c>
      <c r="G77" s="37"/>
      <c r="H77" s="37"/>
      <c r="I77" s="37"/>
      <c r="M77" s="37"/>
      <c r="N77" s="37"/>
      <c r="O77" s="35">
        <v>2.5000000000000001E-2</v>
      </c>
    </row>
    <row r="78" spans="1:21" s="32" customFormat="1" ht="15.75" customHeight="1" x14ac:dyDescent="0.3">
      <c r="A78" s="72"/>
      <c r="B78" s="32" t="s">
        <v>78</v>
      </c>
      <c r="C78" s="34">
        <v>0.01</v>
      </c>
      <c r="D78" s="34">
        <v>9.4999999999999998E-3</v>
      </c>
      <c r="E78" s="17" t="str">
        <f t="shared" si="10"/>
        <v xml:space="preserve">From 1.0% to 1.95% depending on funds chosen. </v>
      </c>
      <c r="F78" s="79" t="str">
        <f>"This product has a contribution charge of "&amp;TEXT(O78,"0.00%")&amp;" on future contributions."</f>
        <v>This product has a contribution charge of 0.00% on future contributions.</v>
      </c>
      <c r="G78" s="37"/>
      <c r="H78" s="37"/>
      <c r="I78" s="37"/>
      <c r="J78"/>
      <c r="K78"/>
      <c r="L78"/>
      <c r="M78" s="37"/>
      <c r="N78" s="37"/>
      <c r="O78" s="35">
        <v>0</v>
      </c>
      <c r="P78"/>
      <c r="Q78"/>
      <c r="R78"/>
      <c r="S78"/>
      <c r="T78"/>
      <c r="U78"/>
    </row>
    <row r="79" spans="1:21" ht="15.75" customHeight="1" x14ac:dyDescent="0.3">
      <c r="B79" s="29"/>
      <c r="C79" s="29"/>
      <c r="D79" s="29"/>
      <c r="E79" s="29"/>
      <c r="F79" s="29"/>
      <c r="G79" s="29"/>
      <c r="H79" s="29"/>
      <c r="I79" s="29"/>
      <c r="J79" s="29"/>
      <c r="K79" s="29"/>
      <c r="L79" s="29"/>
      <c r="M79" s="29"/>
      <c r="N79" s="29"/>
      <c r="O79" s="29"/>
    </row>
    <row r="80" spans="1:21" x14ac:dyDescent="0.3">
      <c r="A80" s="29" t="s">
        <v>202</v>
      </c>
      <c r="B80" t="s">
        <v>131</v>
      </c>
      <c r="C80" s="15">
        <v>1.0200000000000001E-2</v>
      </c>
      <c r="D80" s="15">
        <v>9.4999999999999998E-3</v>
      </c>
      <c r="E80" s="17" t="str">
        <f t="shared" si="10"/>
        <v xml:space="preserve">From 1.02% to 1.97% depending on funds chosen. </v>
      </c>
      <c r="F80" s="79" t="s">
        <v>305</v>
      </c>
      <c r="G80" s="110" t="s">
        <v>308</v>
      </c>
      <c r="H80" s="37"/>
      <c r="I80" s="37"/>
      <c r="M80" s="37"/>
      <c r="N80" s="37"/>
      <c r="O80" s="35"/>
    </row>
    <row r="81" spans="1:21" x14ac:dyDescent="0.3">
      <c r="B81" t="s">
        <v>132</v>
      </c>
      <c r="C81" s="15">
        <v>1.0200000000000001E-2</v>
      </c>
      <c r="D81" s="15">
        <v>9.4999999999999998E-3</v>
      </c>
      <c r="E81" s="17" t="str">
        <f t="shared" si="10"/>
        <v xml:space="preserve">From 1.02% to 1.97% depending on funds chosen. </v>
      </c>
      <c r="F81" s="79" t="s">
        <v>306</v>
      </c>
      <c r="G81" s="110" t="s">
        <v>308</v>
      </c>
      <c r="H81" s="37"/>
      <c r="I81" s="37"/>
      <c r="M81" s="37"/>
      <c r="N81" s="37"/>
      <c r="O81" s="35"/>
    </row>
    <row r="82" spans="1:21" x14ac:dyDescent="0.3">
      <c r="B82" t="s">
        <v>133</v>
      </c>
      <c r="C82" s="15">
        <v>1.0200000000000001E-2</v>
      </c>
      <c r="D82" s="15">
        <v>9.4999999999999998E-3</v>
      </c>
      <c r="E82" s="17" t="str">
        <f t="shared" si="10"/>
        <v xml:space="preserve">From 1.02% to 1.97% depending on funds chosen. </v>
      </c>
      <c r="F82" s="79" t="s">
        <v>302</v>
      </c>
      <c r="G82" s="110" t="s">
        <v>308</v>
      </c>
      <c r="H82" s="37"/>
      <c r="I82" s="37"/>
      <c r="M82" s="37"/>
      <c r="N82" s="37"/>
      <c r="O82" s="35"/>
    </row>
    <row r="83" spans="1:21" x14ac:dyDescent="0.3">
      <c r="B83" t="s">
        <v>134</v>
      </c>
      <c r="C83" s="15">
        <v>1.0200000000000001E-2</v>
      </c>
      <c r="D83" s="15">
        <v>9.4999999999999998E-3</v>
      </c>
      <c r="E83" s="17" t="str">
        <f t="shared" si="10"/>
        <v xml:space="preserve">From 1.02% to 1.97% depending on funds chosen. </v>
      </c>
      <c r="F83" s="79" t="s">
        <v>301</v>
      </c>
      <c r="G83" s="110" t="s">
        <v>308</v>
      </c>
      <c r="H83" s="37"/>
      <c r="I83" s="37"/>
      <c r="M83" s="37"/>
      <c r="N83" s="37"/>
      <c r="O83" s="35"/>
    </row>
    <row r="84" spans="1:21" s="32" customFormat="1" x14ac:dyDescent="0.3">
      <c r="A84" s="72"/>
      <c r="B84" s="32" t="s">
        <v>135</v>
      </c>
      <c r="C84" s="34">
        <v>7.7000000000000002E-3</v>
      </c>
      <c r="D84" s="34">
        <v>9.4999999999999998E-3</v>
      </c>
      <c r="E84" s="17" t="str">
        <f t="shared" si="10"/>
        <v xml:space="preserve">From 0.77% to 1.72% depending on funds chosen. </v>
      </c>
      <c r="F84" s="79" t="s">
        <v>306</v>
      </c>
      <c r="G84" s="110" t="s">
        <v>308</v>
      </c>
      <c r="H84" s="37"/>
      <c r="I84" s="37"/>
      <c r="J84"/>
      <c r="K84"/>
      <c r="L84"/>
      <c r="M84" s="37"/>
      <c r="N84" s="37"/>
      <c r="O84" s="35"/>
      <c r="P84"/>
      <c r="Q84"/>
      <c r="R84"/>
      <c r="S84"/>
      <c r="T84"/>
      <c r="U84"/>
    </row>
    <row r="85" spans="1:21" x14ac:dyDescent="0.3">
      <c r="C85"/>
      <c r="D85"/>
      <c r="O85"/>
    </row>
    <row r="86" spans="1:21" x14ac:dyDescent="0.3">
      <c r="A86" s="29" t="s">
        <v>236</v>
      </c>
      <c r="B86" t="s">
        <v>136</v>
      </c>
      <c r="C86" s="15">
        <v>0.01</v>
      </c>
      <c r="D86" s="15">
        <v>0</v>
      </c>
      <c r="E86" s="17">
        <f t="shared" si="10"/>
        <v>0.01</v>
      </c>
      <c r="F86" s="70" t="s">
        <v>215</v>
      </c>
      <c r="G86" s="17"/>
      <c r="H86" s="37"/>
      <c r="I86" s="37"/>
      <c r="M86" s="39"/>
      <c r="N86" s="39"/>
      <c r="O86" s="40"/>
    </row>
    <row r="87" spans="1:21" x14ac:dyDescent="0.3">
      <c r="B87" t="s">
        <v>137</v>
      </c>
      <c r="C87" s="15">
        <v>0.01</v>
      </c>
      <c r="D87" s="15">
        <v>0</v>
      </c>
      <c r="E87" s="17">
        <f t="shared" si="10"/>
        <v>0.01</v>
      </c>
      <c r="F87" s="70" t="s">
        <v>224</v>
      </c>
      <c r="G87" s="37"/>
      <c r="H87" s="37"/>
      <c r="I87" s="37"/>
      <c r="M87" s="37"/>
      <c r="N87" s="37"/>
      <c r="O87" s="35"/>
    </row>
    <row r="88" spans="1:21" x14ac:dyDescent="0.3">
      <c r="B88" t="s">
        <v>138</v>
      </c>
      <c r="C88" s="15">
        <v>7.4999999999999997E-3</v>
      </c>
      <c r="D88" s="15">
        <v>0</v>
      </c>
      <c r="E88" s="17">
        <f t="shared" si="10"/>
        <v>7.4999999999999997E-3</v>
      </c>
      <c r="F88" s="70" t="s">
        <v>224</v>
      </c>
      <c r="G88" s="37"/>
      <c r="H88" s="37"/>
      <c r="I88" s="37"/>
      <c r="M88" s="37"/>
      <c r="N88" s="37"/>
      <c r="O88" s="35"/>
    </row>
    <row r="89" spans="1:21" x14ac:dyDescent="0.3">
      <c r="B89" t="s">
        <v>139</v>
      </c>
      <c r="C89" s="15">
        <v>0.01</v>
      </c>
      <c r="D89" s="15">
        <v>0</v>
      </c>
      <c r="E89" s="17">
        <f t="shared" si="10"/>
        <v>0.01</v>
      </c>
      <c r="F89" s="70" t="s">
        <v>226</v>
      </c>
      <c r="G89" s="37"/>
      <c r="H89" s="37"/>
      <c r="I89" s="37"/>
      <c r="M89" s="37"/>
      <c r="N89" s="37"/>
      <c r="O89" s="35"/>
    </row>
    <row r="90" spans="1:21" x14ac:dyDescent="0.3">
      <c r="B90" t="s">
        <v>140</v>
      </c>
      <c r="C90" s="15">
        <v>0.01</v>
      </c>
      <c r="D90" s="15">
        <v>0</v>
      </c>
      <c r="E90" s="17">
        <f t="shared" si="10"/>
        <v>0.01</v>
      </c>
      <c r="F90" s="70" t="s">
        <v>225</v>
      </c>
      <c r="G90" s="37"/>
      <c r="H90" s="37"/>
      <c r="I90" s="37"/>
      <c r="M90" s="37"/>
      <c r="N90" s="37"/>
      <c r="O90" s="35"/>
    </row>
    <row r="91" spans="1:21" x14ac:dyDescent="0.3">
      <c r="B91" t="s">
        <v>141</v>
      </c>
      <c r="C91" s="15">
        <v>0.01</v>
      </c>
      <c r="D91" s="15">
        <v>0</v>
      </c>
      <c r="E91" s="17">
        <f t="shared" si="10"/>
        <v>0.01</v>
      </c>
      <c r="F91" s="70" t="s">
        <v>224</v>
      </c>
      <c r="G91" s="37"/>
      <c r="H91" s="37"/>
      <c r="I91" s="37"/>
      <c r="M91" s="37"/>
      <c r="N91" s="37"/>
      <c r="O91" s="35"/>
    </row>
    <row r="92" spans="1:21" x14ac:dyDescent="0.3">
      <c r="B92" t="s">
        <v>142</v>
      </c>
      <c r="C92" s="15">
        <v>0.01</v>
      </c>
      <c r="D92" s="15">
        <v>0</v>
      </c>
      <c r="E92" s="17">
        <f t="shared" si="10"/>
        <v>0.01</v>
      </c>
      <c r="F92" s="17"/>
      <c r="G92" s="37"/>
      <c r="H92" s="37"/>
      <c r="I92" s="37"/>
      <c r="M92" s="37"/>
      <c r="N92" s="37"/>
      <c r="O92" s="35">
        <v>0.05</v>
      </c>
    </row>
    <row r="93" spans="1:21" x14ac:dyDescent="0.3">
      <c r="B93" t="s">
        <v>143</v>
      </c>
      <c r="C93" s="15">
        <v>0.01</v>
      </c>
      <c r="D93" s="15">
        <v>0</v>
      </c>
      <c r="E93" s="17">
        <f t="shared" si="10"/>
        <v>0.01</v>
      </c>
      <c r="F93" s="17"/>
      <c r="G93" s="37"/>
      <c r="H93" s="37"/>
      <c r="I93" s="37"/>
      <c r="M93" s="37"/>
      <c r="N93" s="37"/>
      <c r="O93" s="35"/>
    </row>
    <row r="94" spans="1:21" x14ac:dyDescent="0.3">
      <c r="B94" t="s">
        <v>144</v>
      </c>
      <c r="C94" s="15">
        <v>0.01</v>
      </c>
      <c r="D94" s="15">
        <v>0</v>
      </c>
      <c r="E94" s="17">
        <f t="shared" si="10"/>
        <v>0.01</v>
      </c>
      <c r="F94" s="17"/>
      <c r="G94" s="37"/>
      <c r="H94" s="37"/>
      <c r="I94" s="37"/>
      <c r="M94" s="37"/>
      <c r="N94" s="37"/>
      <c r="O94" s="35">
        <v>0</v>
      </c>
    </row>
    <row r="95" spans="1:21" x14ac:dyDescent="0.3">
      <c r="B95" t="s">
        <v>145</v>
      </c>
      <c r="C95" s="15">
        <v>0.01</v>
      </c>
      <c r="D95" s="15">
        <v>0</v>
      </c>
      <c r="E95" s="17">
        <f t="shared" si="10"/>
        <v>0.01</v>
      </c>
      <c r="F95" s="17"/>
      <c r="G95" s="37"/>
      <c r="H95" s="37"/>
      <c r="I95" s="37"/>
      <c r="M95" s="37"/>
      <c r="N95" s="37"/>
      <c r="O95" s="35">
        <v>0.01</v>
      </c>
    </row>
    <row r="96" spans="1:21" x14ac:dyDescent="0.3">
      <c r="B96" t="s">
        <v>146</v>
      </c>
      <c r="C96" s="15">
        <v>0.01</v>
      </c>
      <c r="D96" s="15">
        <v>0</v>
      </c>
      <c r="E96" s="17">
        <f t="shared" si="10"/>
        <v>0.01</v>
      </c>
      <c r="F96" s="17"/>
      <c r="G96" s="37"/>
      <c r="H96" s="37"/>
      <c r="I96" s="37"/>
      <c r="M96" s="37"/>
      <c r="N96" s="37"/>
      <c r="O96" s="35">
        <v>0.02</v>
      </c>
    </row>
    <row r="97" spans="2:15" x14ac:dyDescent="0.3">
      <c r="B97" t="s">
        <v>147</v>
      </c>
      <c r="C97" s="15">
        <v>5.0000000000000001E-3</v>
      </c>
      <c r="D97" s="15">
        <v>0</v>
      </c>
      <c r="E97" s="17">
        <f t="shared" si="10"/>
        <v>5.0000000000000001E-3</v>
      </c>
      <c r="F97" s="17"/>
      <c r="G97" s="37"/>
      <c r="H97" s="37"/>
      <c r="I97" s="37"/>
      <c r="M97" s="37"/>
      <c r="N97" s="37"/>
      <c r="O97" s="35">
        <v>0</v>
      </c>
    </row>
    <row r="98" spans="2:15" x14ac:dyDescent="0.3">
      <c r="B98" t="s">
        <v>148</v>
      </c>
      <c r="C98" s="15">
        <v>7.4999999999999997E-3</v>
      </c>
      <c r="D98" s="15">
        <v>0</v>
      </c>
      <c r="E98" s="17">
        <f t="shared" si="10"/>
        <v>7.4999999999999997E-3</v>
      </c>
      <c r="F98" s="17"/>
      <c r="G98" s="37"/>
      <c r="H98" s="37"/>
      <c r="I98" s="37"/>
      <c r="M98" s="37"/>
      <c r="N98" s="37"/>
      <c r="O98" s="35">
        <v>0</v>
      </c>
    </row>
    <row r="99" spans="2:15" x14ac:dyDescent="0.3">
      <c r="B99" t="s">
        <v>149</v>
      </c>
      <c r="C99" s="15">
        <v>0.01</v>
      </c>
      <c r="D99" s="15">
        <v>4.1999999999999997E-3</v>
      </c>
      <c r="E99" s="17" t="str">
        <f t="shared" si="10"/>
        <v xml:space="preserve">From 1.0% to 1.42% depending on funds chosen. </v>
      </c>
      <c r="F99" s="70" t="s">
        <v>215</v>
      </c>
      <c r="G99" s="37"/>
      <c r="H99" s="37"/>
      <c r="I99" s="37"/>
      <c r="M99" s="37"/>
      <c r="N99" s="37"/>
      <c r="O99" s="35"/>
    </row>
    <row r="100" spans="2:15" x14ac:dyDescent="0.3">
      <c r="B100" t="s">
        <v>150</v>
      </c>
      <c r="C100" s="15">
        <v>0.01</v>
      </c>
      <c r="D100" s="15">
        <v>4.1999999999999997E-3</v>
      </c>
      <c r="E100" s="17" t="str">
        <f t="shared" si="10"/>
        <v xml:space="preserve">From 1.0% to 1.42% depending on funds chosen. </v>
      </c>
      <c r="F100" s="70" t="s">
        <v>227</v>
      </c>
      <c r="G100" s="37"/>
      <c r="H100" s="37"/>
      <c r="I100" s="37"/>
      <c r="M100" s="37"/>
      <c r="N100" s="37"/>
      <c r="O100" s="35"/>
    </row>
    <row r="101" spans="2:15" x14ac:dyDescent="0.3">
      <c r="B101" t="s">
        <v>151</v>
      </c>
      <c r="C101" s="15">
        <v>0.01</v>
      </c>
      <c r="D101" s="15">
        <v>4.1999999999999997E-3</v>
      </c>
      <c r="E101" s="17" t="str">
        <f t="shared" si="10"/>
        <v xml:space="preserve">From 1.0% to 1.42% depending on funds chosen. </v>
      </c>
      <c r="F101" s="70" t="s">
        <v>225</v>
      </c>
      <c r="G101" s="37"/>
      <c r="H101" s="37"/>
      <c r="I101" s="37"/>
      <c r="M101" s="37"/>
      <c r="N101" s="37"/>
      <c r="O101" s="35"/>
    </row>
    <row r="102" spans="2:15" x14ac:dyDescent="0.3">
      <c r="B102" t="s">
        <v>152</v>
      </c>
      <c r="C102" s="15">
        <v>0.01</v>
      </c>
      <c r="D102" s="15">
        <v>4.1999999999999997E-3</v>
      </c>
      <c r="E102" s="17" t="str">
        <f t="shared" si="10"/>
        <v xml:space="preserve">From 1.0% to 1.42% depending on funds chosen. </v>
      </c>
      <c r="F102" s="71" t="s">
        <v>228</v>
      </c>
      <c r="G102" s="37"/>
      <c r="H102" s="37"/>
      <c r="I102" s="37"/>
      <c r="M102" s="37"/>
      <c r="N102" s="37"/>
      <c r="O102" s="35"/>
    </row>
    <row r="103" spans="2:15" x14ac:dyDescent="0.3">
      <c r="B103" t="s">
        <v>153</v>
      </c>
      <c r="C103" s="15">
        <v>1.7500000000000002E-2</v>
      </c>
      <c r="D103" s="15">
        <v>4.1999999999999997E-3</v>
      </c>
      <c r="E103" s="17" t="str">
        <f t="shared" si="10"/>
        <v xml:space="preserve">From 1.75% to 2.17% depending on funds chosen. </v>
      </c>
      <c r="F103" s="70" t="s">
        <v>215</v>
      </c>
      <c r="G103" s="37"/>
      <c r="H103" s="37"/>
      <c r="I103" s="37"/>
      <c r="M103" s="37"/>
      <c r="N103" s="37"/>
      <c r="O103" s="35"/>
    </row>
    <row r="104" spans="2:15" x14ac:dyDescent="0.3">
      <c r="B104" t="s">
        <v>154</v>
      </c>
      <c r="C104" s="15">
        <v>1.4999999999999999E-2</v>
      </c>
      <c r="D104" s="15">
        <v>4.1999999999999997E-3</v>
      </c>
      <c r="E104" s="17" t="str">
        <f t="shared" si="10"/>
        <v xml:space="preserve">From 1.50% to 1.92% depending on funds chosen. </v>
      </c>
      <c r="F104" s="70" t="s">
        <v>215</v>
      </c>
      <c r="G104" s="37"/>
      <c r="H104" s="37"/>
      <c r="I104" s="37"/>
      <c r="M104" s="37"/>
      <c r="N104" s="37"/>
      <c r="O104" s="35"/>
    </row>
    <row r="105" spans="2:15" x14ac:dyDescent="0.3">
      <c r="B105" t="s">
        <v>155</v>
      </c>
      <c r="C105" s="15">
        <v>1.4999999999999999E-2</v>
      </c>
      <c r="D105" s="15">
        <v>4.1999999999999997E-3</v>
      </c>
      <c r="E105" s="17" t="str">
        <f t="shared" si="10"/>
        <v xml:space="preserve">From 1.50% to 1.92% depending on funds chosen. </v>
      </c>
      <c r="F105" s="70" t="s">
        <v>226</v>
      </c>
      <c r="G105" s="37"/>
      <c r="H105" s="37"/>
      <c r="I105" s="37"/>
      <c r="M105" s="37"/>
      <c r="N105" s="37"/>
      <c r="O105" s="35"/>
    </row>
    <row r="106" spans="2:15" x14ac:dyDescent="0.3">
      <c r="B106" t="s">
        <v>156</v>
      </c>
      <c r="C106" s="15">
        <v>1.4999999999999999E-2</v>
      </c>
      <c r="D106" s="15">
        <v>4.1999999999999997E-3</v>
      </c>
      <c r="E106" s="17" t="str">
        <f t="shared" si="10"/>
        <v xml:space="preserve">From 1.50% to 1.92% depending on funds chosen. </v>
      </c>
      <c r="F106" s="70" t="s">
        <v>225</v>
      </c>
      <c r="G106" s="37"/>
      <c r="H106" s="37"/>
      <c r="I106" s="37"/>
      <c r="M106" s="37"/>
      <c r="N106" s="37"/>
      <c r="O106" s="35"/>
    </row>
    <row r="107" spans="2:15" x14ac:dyDescent="0.3">
      <c r="B107" t="s">
        <v>157</v>
      </c>
      <c r="C107" s="15">
        <v>1.4999999999999999E-2</v>
      </c>
      <c r="D107" s="15">
        <v>4.1999999999999997E-3</v>
      </c>
      <c r="E107" s="17" t="str">
        <f t="shared" si="10"/>
        <v xml:space="preserve">From 1.50% to 1.92% depending on funds chosen. </v>
      </c>
      <c r="F107" s="71" t="s">
        <v>228</v>
      </c>
      <c r="G107" s="37"/>
      <c r="H107" s="37"/>
      <c r="I107" s="37"/>
      <c r="M107" s="37"/>
      <c r="N107" s="37"/>
      <c r="O107" s="35"/>
    </row>
    <row r="108" spans="2:15" x14ac:dyDescent="0.3">
      <c r="B108" t="s">
        <v>158</v>
      </c>
      <c r="C108" s="15">
        <v>7.4999999999999997E-3</v>
      </c>
      <c r="D108" s="15">
        <v>4.1999999999999997E-3</v>
      </c>
      <c r="E108" s="17" t="str">
        <f t="shared" si="10"/>
        <v xml:space="preserve">From 0.75% to 1.17% depending on funds chosen. </v>
      </c>
      <c r="F108" s="70" t="s">
        <v>225</v>
      </c>
      <c r="G108" s="37"/>
      <c r="H108" s="37"/>
      <c r="I108" s="37"/>
      <c r="M108" s="37"/>
      <c r="N108" s="37"/>
      <c r="O108" s="35"/>
    </row>
    <row r="109" spans="2:15" x14ac:dyDescent="0.3">
      <c r="B109" t="s">
        <v>159</v>
      </c>
      <c r="C109" s="15">
        <v>7.4999999999999997E-3</v>
      </c>
      <c r="D109" s="15">
        <v>4.1999999999999997E-3</v>
      </c>
      <c r="E109" s="17" t="str">
        <f t="shared" si="10"/>
        <v xml:space="preserve">From 0.75% to 1.17% depending on funds chosen. </v>
      </c>
      <c r="F109" s="71" t="s">
        <v>228</v>
      </c>
      <c r="G109" s="37"/>
      <c r="H109" s="37"/>
      <c r="I109" s="37"/>
      <c r="M109" s="37"/>
      <c r="N109" s="37"/>
      <c r="O109" s="35"/>
    </row>
    <row r="110" spans="2:15" x14ac:dyDescent="0.3">
      <c r="B110" t="s">
        <v>160</v>
      </c>
      <c r="C110" s="15">
        <v>1.2500000000000001E-2</v>
      </c>
      <c r="D110" s="15">
        <v>4.1999999999999997E-3</v>
      </c>
      <c r="E110" s="17" t="str">
        <f t="shared" si="10"/>
        <v xml:space="preserve">From 1.25% to 1.67% depending on funds chosen. </v>
      </c>
      <c r="F110" s="70" t="s">
        <v>227</v>
      </c>
      <c r="G110" s="37"/>
      <c r="H110" s="37"/>
      <c r="I110" s="37"/>
      <c r="M110" s="37"/>
      <c r="N110" s="37"/>
      <c r="O110" s="35"/>
    </row>
    <row r="111" spans="2:15" x14ac:dyDescent="0.3">
      <c r="B111" t="s">
        <v>161</v>
      </c>
      <c r="C111" s="15">
        <v>1.2500000000000001E-2</v>
      </c>
      <c r="D111" s="15">
        <v>4.1999999999999997E-3</v>
      </c>
      <c r="E111" s="17" t="str">
        <f t="shared" si="10"/>
        <v xml:space="preserve">From 1.25% to 1.67% depending on funds chosen. </v>
      </c>
      <c r="F111" s="17" t="str">
        <f t="shared" ref="F111:F114" si="11">"This product has a "&amp;O111*100&amp;"% contribution charge. "</f>
        <v xml:space="preserve">This product has a 0% contribution charge. </v>
      </c>
      <c r="G111" s="37"/>
      <c r="H111" s="37"/>
      <c r="I111" s="37"/>
      <c r="M111" s="37"/>
      <c r="N111" s="37"/>
      <c r="O111" s="35">
        <v>0</v>
      </c>
    </row>
    <row r="112" spans="2:15" x14ac:dyDescent="0.3">
      <c r="B112" t="s">
        <v>162</v>
      </c>
      <c r="C112" s="15">
        <v>1.2500000000000001E-2</v>
      </c>
      <c r="D112" s="15">
        <v>4.1999999999999997E-3</v>
      </c>
      <c r="E112" s="17" t="str">
        <f t="shared" ref="E112:E114" si="12">IF(D112=0,C112,"From "&amp;TEXT(ROUND(C112*100,2),"#0.#0")&amp;"% to "&amp;TEXT(ROUND((D112+C112)*100,2),"#0.#0")&amp;"% depending on funds chosen. ")</f>
        <v xml:space="preserve">From 1.25% to 1.67% depending on funds chosen. </v>
      </c>
      <c r="F112" s="17" t="str">
        <f t="shared" si="11"/>
        <v xml:space="preserve">This product has a 1% contribution charge. </v>
      </c>
      <c r="G112" s="37"/>
      <c r="H112" s="37"/>
      <c r="I112" s="37"/>
      <c r="M112" s="37"/>
      <c r="N112" s="37"/>
      <c r="O112" s="35">
        <v>0.01</v>
      </c>
    </row>
    <row r="113" spans="1:24" x14ac:dyDescent="0.3">
      <c r="B113" t="s">
        <v>163</v>
      </c>
      <c r="C113" s="15">
        <v>1.2500000000000001E-2</v>
      </c>
      <c r="D113" s="15">
        <v>4.1999999999999997E-3</v>
      </c>
      <c r="E113" s="17" t="str">
        <f t="shared" si="12"/>
        <v xml:space="preserve">From 1.25% to 1.67% depending on funds chosen. </v>
      </c>
      <c r="F113" s="17" t="str">
        <f t="shared" si="11"/>
        <v xml:space="preserve">This product has a 2% contribution charge. </v>
      </c>
      <c r="G113" s="37"/>
      <c r="H113" s="37"/>
      <c r="I113" s="37"/>
      <c r="M113" s="37"/>
      <c r="N113" s="37"/>
      <c r="O113" s="35">
        <v>0.02</v>
      </c>
    </row>
    <row r="114" spans="1:24" s="32" customFormat="1" x14ac:dyDescent="0.3">
      <c r="A114" s="72"/>
      <c r="B114" s="32" t="s">
        <v>164</v>
      </c>
      <c r="C114" s="34">
        <v>1.4999999999999999E-2</v>
      </c>
      <c r="D114" s="34">
        <v>4.1999999999999997E-3</v>
      </c>
      <c r="E114" s="17" t="str">
        <f t="shared" si="12"/>
        <v xml:space="preserve">From 1.50% to 1.92% depending on funds chosen. </v>
      </c>
      <c r="F114" s="17" t="str">
        <f t="shared" si="11"/>
        <v xml:space="preserve">This product has a 0% contribution charge. </v>
      </c>
      <c r="G114" s="37"/>
      <c r="H114" s="37"/>
      <c r="I114" s="37"/>
      <c r="J114"/>
      <c r="K114"/>
      <c r="L114"/>
      <c r="M114" s="37"/>
      <c r="N114" s="37"/>
      <c r="O114" s="35">
        <v>0</v>
      </c>
      <c r="P114"/>
      <c r="Q114"/>
      <c r="R114"/>
      <c r="S114"/>
      <c r="T114"/>
      <c r="U114"/>
      <c r="V114"/>
      <c r="W114"/>
      <c r="X114"/>
    </row>
    <row r="115" spans="1:24" ht="15" thickBot="1" x14ac:dyDescent="0.35">
      <c r="C115" s="41"/>
      <c r="D115" s="41"/>
      <c r="E115" s="41"/>
      <c r="F115" s="15"/>
      <c r="O115" s="42"/>
    </row>
    <row r="116" spans="1:24" s="65" customFormat="1" ht="13.8" thickBot="1" x14ac:dyDescent="0.3">
      <c r="A116" s="67" t="s">
        <v>211</v>
      </c>
      <c r="C116" s="66"/>
      <c r="D116" s="66"/>
      <c r="E116" s="66"/>
      <c r="F116" s="66"/>
      <c r="O116" s="68"/>
    </row>
    <row r="117" spans="1:24" x14ac:dyDescent="0.3">
      <c r="C117"/>
      <c r="D117"/>
      <c r="O117"/>
    </row>
    <row r="118" spans="1:24" x14ac:dyDescent="0.3">
      <c r="A118" s="29" t="s">
        <v>29</v>
      </c>
      <c r="B118" t="s">
        <v>79</v>
      </c>
      <c r="C118" s="15">
        <v>0.01</v>
      </c>
      <c r="D118" s="15">
        <v>1.4500000000000001E-2</v>
      </c>
      <c r="E118" s="17" t="str">
        <f>IF(D118=0,C118,"From "&amp;TEXT(ROUND(C118*100,2),"#0.#0")&amp;"% to "&amp;TEXT(ROUND((D118+C118)*100,2),"#0.#0")&amp;"% depending on funds chosen. ")</f>
        <v xml:space="preserve">From 1.0% to 2.45% depending on funds chosen. </v>
      </c>
      <c r="F118" s="17" t="str">
        <f>"This product has a "&amp;O118*100&amp;"% contribution charge. "</f>
        <v xml:space="preserve">This product has a 5% contribution charge. </v>
      </c>
      <c r="G118" s="37"/>
      <c r="H118" s="37"/>
      <c r="I118" s="37"/>
      <c r="M118" s="37"/>
      <c r="N118" s="37"/>
      <c r="O118" s="35">
        <v>0.05</v>
      </c>
    </row>
    <row r="119" spans="1:24" x14ac:dyDescent="0.3">
      <c r="B119" t="s">
        <v>80</v>
      </c>
      <c r="C119" s="15">
        <v>0.01</v>
      </c>
      <c r="D119" s="15">
        <v>1.4500000000000001E-2</v>
      </c>
      <c r="E119" s="17" t="str">
        <f>IF(D119=0,C119,"From "&amp;TEXT(ROUND(C119*100,2),"#0.#0")&amp;"% to "&amp;TEXT(ROUND((D119+C119)*100,2),"#0.#0")&amp;"% depending on funds chosen. ")</f>
        <v xml:space="preserve">From 1.0% to 2.45% depending on funds chosen. </v>
      </c>
      <c r="F119" s="17" t="str">
        <f t="shared" ref="F119:F121" si="13">"This product has a "&amp;O119*100&amp;"% contribution charge. "</f>
        <v xml:space="preserve">This product has a 3.5% contribution charge. </v>
      </c>
      <c r="G119" s="37"/>
      <c r="H119" s="37"/>
      <c r="I119" s="37"/>
      <c r="M119" s="37"/>
      <c r="N119" s="37"/>
      <c r="O119" s="35">
        <v>3.5000000000000003E-2</v>
      </c>
    </row>
    <row r="120" spans="1:24" x14ac:dyDescent="0.3">
      <c r="B120" t="s">
        <v>81</v>
      </c>
      <c r="C120" s="15">
        <v>0.01</v>
      </c>
      <c r="D120" s="15">
        <v>1.4500000000000001E-2</v>
      </c>
      <c r="E120" s="111" t="str">
        <f>IF(D120=0,C120,"From "&amp;TEXT(ROUND(C120*100,2),"#0.#0")&amp;"% to "&amp;TEXT(ROUND((D120+C120)*100,2),"#0.#0")&amp;"% depending on funds chosen. ")</f>
        <v xml:space="preserve">From 1.0% to 2.45% depending on funds chosen. </v>
      </c>
      <c r="F120" s="17" t="str">
        <f t="shared" si="13"/>
        <v xml:space="preserve">This product has a 2% contribution charge. </v>
      </c>
      <c r="G120" s="37"/>
      <c r="H120" s="37"/>
      <c r="I120" s="37"/>
      <c r="M120" s="37"/>
      <c r="N120" s="37"/>
      <c r="O120" s="35">
        <v>0.02</v>
      </c>
    </row>
    <row r="121" spans="1:24" x14ac:dyDescent="0.3">
      <c r="B121" t="s">
        <v>82</v>
      </c>
      <c r="C121" s="15">
        <v>0.01</v>
      </c>
      <c r="D121" s="15">
        <v>1.4500000000000001E-2</v>
      </c>
      <c r="E121" s="17" t="str">
        <f>IF(D121=0,C121,"From "&amp;TEXT(ROUND(C121*100,2),"#0.#0")&amp;"% to "&amp;TEXT(ROUND((D121+C121)*100,2),"#0.#0")&amp;"% depending on funds chosen. ")</f>
        <v xml:space="preserve">From 1.0% to 2.45% depending on funds chosen. </v>
      </c>
      <c r="F121" s="17" t="str">
        <f t="shared" si="13"/>
        <v xml:space="preserve">This product has a 0% contribution charge. </v>
      </c>
      <c r="G121" s="37"/>
      <c r="H121" s="37"/>
      <c r="I121" s="37"/>
      <c r="M121" s="37"/>
      <c r="N121" s="37"/>
      <c r="O121" s="35">
        <v>0</v>
      </c>
    </row>
    <row r="122" spans="1:24" x14ac:dyDescent="0.3">
      <c r="B122" t="s">
        <v>242</v>
      </c>
      <c r="C122" s="79">
        <v>9.4999999999999998E-3</v>
      </c>
      <c r="D122" s="79">
        <v>3.5000000000000001E-3</v>
      </c>
      <c r="E122" s="17" t="str">
        <f>IF(D122=0,C122,"From "&amp;TEXT(ROUND(C122*100,2),"#0.#0")&amp;"% to "&amp;TEXT(ROUND((D122+C122)*100,2),"#0.#0")&amp;"% depending on funds chosen. ")</f>
        <v xml:space="preserve">From 0.95% to 1.30% depending on funds chosen. </v>
      </c>
      <c r="F122" s="17"/>
      <c r="G122" s="77" t="s">
        <v>250</v>
      </c>
      <c r="H122" s="37"/>
      <c r="I122" s="37"/>
      <c r="M122" s="37"/>
      <c r="N122" s="37"/>
      <c r="O122" s="35"/>
    </row>
    <row r="123" spans="1:24" x14ac:dyDescent="0.3">
      <c r="B123" t="s">
        <v>243</v>
      </c>
      <c r="C123" s="79">
        <v>7.0000000000000001E-3</v>
      </c>
      <c r="D123" s="79">
        <v>3.5000000000000001E-3</v>
      </c>
      <c r="E123" s="17" t="str">
        <f t="shared" ref="E123:E127" si="14">IF(D123=0,C123,"From "&amp;TEXT(ROUND(C123*100,2),"#0.#0")&amp;"% to "&amp;TEXT(ROUND((D123+C123)*100,2),"#0.#0")&amp;"% depending on funds chosen. ")</f>
        <v xml:space="preserve">From 0.70% to 1.05% depending on funds chosen. </v>
      </c>
      <c r="F123" s="17"/>
      <c r="G123" s="77" t="s">
        <v>250</v>
      </c>
      <c r="H123" s="37"/>
      <c r="I123" s="37"/>
      <c r="M123" s="37"/>
      <c r="N123" s="37"/>
      <c r="O123" s="35"/>
    </row>
    <row r="124" spans="1:24" x14ac:dyDescent="0.3">
      <c r="B124" t="s">
        <v>244</v>
      </c>
      <c r="C124" s="79">
        <v>4.4999999999999997E-3</v>
      </c>
      <c r="D124" s="79">
        <v>3.5000000000000001E-3</v>
      </c>
      <c r="E124" s="17" t="str">
        <f t="shared" si="14"/>
        <v xml:space="preserve">From 0.45% to 0.80% depending on funds chosen. </v>
      </c>
      <c r="F124" s="17"/>
      <c r="G124" s="77" t="s">
        <v>250</v>
      </c>
      <c r="H124" s="37"/>
      <c r="I124" s="37"/>
      <c r="M124" s="37"/>
      <c r="N124" s="37"/>
      <c r="O124" s="35"/>
    </row>
    <row r="125" spans="1:24" x14ac:dyDescent="0.3">
      <c r="B125" t="s">
        <v>245</v>
      </c>
      <c r="C125" s="79">
        <v>3.0000000000000001E-3</v>
      </c>
      <c r="D125" s="79">
        <v>3.5000000000000001E-3</v>
      </c>
      <c r="E125" s="17" t="str">
        <f t="shared" si="14"/>
        <v xml:space="preserve">From 0.30% to 0.65% depending on funds chosen. </v>
      </c>
      <c r="F125" s="17"/>
      <c r="G125" s="77" t="s">
        <v>250</v>
      </c>
      <c r="H125" s="37"/>
      <c r="I125" s="37"/>
      <c r="M125" s="37"/>
      <c r="N125" s="37"/>
      <c r="O125" s="35"/>
    </row>
    <row r="126" spans="1:24" x14ac:dyDescent="0.3">
      <c r="B126" t="s">
        <v>246</v>
      </c>
      <c r="C126" s="79">
        <v>1.2E-2</v>
      </c>
      <c r="D126" s="79">
        <v>3.5000000000000001E-3</v>
      </c>
      <c r="E126" s="17" t="str">
        <f t="shared" si="14"/>
        <v xml:space="preserve">From 1.20% to 1.55% depending on funds chosen. </v>
      </c>
      <c r="F126" s="17"/>
      <c r="G126" s="77" t="s">
        <v>250</v>
      </c>
      <c r="H126" s="37"/>
      <c r="I126" s="37"/>
      <c r="M126" s="37"/>
      <c r="N126" s="37"/>
      <c r="O126" s="35"/>
    </row>
    <row r="127" spans="1:24" x14ac:dyDescent="0.3">
      <c r="B127" t="s">
        <v>247</v>
      </c>
      <c r="C127" s="79">
        <v>5.4999999999999997E-3</v>
      </c>
      <c r="D127" s="79">
        <v>3.5000000000000001E-3</v>
      </c>
      <c r="E127" s="17" t="str">
        <f t="shared" si="14"/>
        <v xml:space="preserve">From 0.55% to 0.90% depending on funds chosen. </v>
      </c>
      <c r="F127" s="17"/>
      <c r="G127" s="77" t="s">
        <v>250</v>
      </c>
      <c r="H127" s="37"/>
      <c r="I127" s="37"/>
      <c r="M127" s="37"/>
      <c r="N127" s="37"/>
      <c r="O127" s="35"/>
    </row>
    <row r="128" spans="1:24" ht="15" thickBot="1" x14ac:dyDescent="0.35">
      <c r="E128" s="41"/>
      <c r="F128" s="41"/>
      <c r="O128" s="42"/>
    </row>
    <row r="129" spans="1:18" s="65" customFormat="1" ht="13.8" thickBot="1" x14ac:dyDescent="0.3">
      <c r="A129" s="67" t="s">
        <v>229</v>
      </c>
      <c r="C129" s="66"/>
      <c r="D129" s="66"/>
      <c r="E129" s="66"/>
      <c r="F129" s="66"/>
      <c r="O129" s="68"/>
    </row>
    <row r="130" spans="1:18" ht="15" thickBot="1" x14ac:dyDescent="0.35">
      <c r="C130" s="41"/>
      <c r="D130" s="41"/>
      <c r="E130" s="41"/>
      <c r="F130" s="15"/>
      <c r="O130" s="42"/>
    </row>
    <row r="131" spans="1:18" ht="15" thickBot="1" x14ac:dyDescent="0.35">
      <c r="C131" s="41"/>
      <c r="D131" s="41"/>
      <c r="E131" s="259" t="s">
        <v>230</v>
      </c>
      <c r="F131" s="259"/>
      <c r="G131" s="259"/>
      <c r="H131" s="259"/>
      <c r="I131" s="259"/>
      <c r="M131" s="260" t="s">
        <v>229</v>
      </c>
      <c r="N131" s="261"/>
      <c r="O131" s="261"/>
      <c r="P131" s="261"/>
      <c r="Q131" s="262"/>
    </row>
    <row r="132" spans="1:18" x14ac:dyDescent="0.3">
      <c r="C132" s="41"/>
      <c r="D132" s="41"/>
      <c r="E132" s="1" t="s">
        <v>196</v>
      </c>
      <c r="F132" s="1" t="s">
        <v>223</v>
      </c>
      <c r="G132" s="1" t="s">
        <v>206</v>
      </c>
      <c r="H132" s="1" t="s">
        <v>207</v>
      </c>
      <c r="I132" s="1" t="s">
        <v>24</v>
      </c>
      <c r="M132" s="60">
        <v>0</v>
      </c>
      <c r="N132" s="19">
        <v>50000</v>
      </c>
      <c r="O132" s="119">
        <v>1000000</v>
      </c>
      <c r="P132" s="19">
        <v>3000000</v>
      </c>
      <c r="Q132" s="120">
        <v>5000000</v>
      </c>
    </row>
    <row r="133" spans="1:18" x14ac:dyDescent="0.3">
      <c r="A133" s="29">
        <v>2</v>
      </c>
      <c r="B133" s="24" t="s">
        <v>184</v>
      </c>
      <c r="C133" s="15">
        <f>HLOOKUP('PRSA Transfer Form'!$B$26,$M$132:$Q$135,$A133)</f>
        <v>1.8450000000000001E-2</v>
      </c>
      <c r="E133" s="15">
        <f t="shared" ref="E133" si="15">IF(D133=0,C133,"From "&amp;TEXT(ROUND(C133*100,2),"#0.#0")&amp;"% to "&amp;TEXT(ROUND((D133+C133)*100,2),"#0.#0")&amp;"% depending on funds chosen.")</f>
        <v>1.8450000000000001E-2</v>
      </c>
      <c r="F133" s="15" t="s">
        <v>256</v>
      </c>
      <c r="M133" s="51">
        <f>1.5%+(23%*1.5%)</f>
        <v>1.8450000000000001E-2</v>
      </c>
      <c r="N133" s="52">
        <f>1.5%+(23%*1.5%)</f>
        <v>1.8450000000000001E-2</v>
      </c>
      <c r="O133" s="52">
        <f>1.25%+(23%*1.25%)</f>
        <v>1.5375000000000002E-2</v>
      </c>
      <c r="P133" s="121">
        <f>1%+(23%*1%)</f>
        <v>1.23E-2</v>
      </c>
      <c r="Q133" s="53">
        <f>0.75%+(0.75%*23%)</f>
        <v>9.2250000000000006E-3</v>
      </c>
    </row>
    <row r="134" spans="1:18" x14ac:dyDescent="0.3">
      <c r="A134" s="29">
        <v>3</v>
      </c>
      <c r="B134" s="24" t="s">
        <v>185</v>
      </c>
      <c r="C134" s="15">
        <f>HLOOKUP('PRSA Transfer Form'!$B$26,$M$132:$Q$135,$A134)</f>
        <v>1.5375000000000002E-2</v>
      </c>
      <c r="E134" s="15">
        <f t="shared" ref="E134:E137" si="16">IF(D134=0,C134,"From "&amp;TEXT(ROUND(C134*100,2),"#0.#0")&amp;"% to "&amp;TEXT(ROUND((D134+C134)*100,2),"#0.#0")&amp;"% depending on funds chosen.")</f>
        <v>1.5375000000000002E-2</v>
      </c>
      <c r="F134" s="15" t="s">
        <v>256</v>
      </c>
      <c r="M134" s="51">
        <f>1.25%+(23%*1.25%)</f>
        <v>1.5375000000000002E-2</v>
      </c>
      <c r="N134" s="52">
        <f>1.25%+(23%*1.25%)</f>
        <v>1.5375000000000002E-2</v>
      </c>
      <c r="O134" s="52">
        <f>1%+(23%*1%)</f>
        <v>1.23E-2</v>
      </c>
      <c r="P134" s="52">
        <f>0.85%+(0.85%*23%)</f>
        <v>1.0455000000000001E-2</v>
      </c>
      <c r="Q134" s="53">
        <f>0.75%+(0.75%*23%)</f>
        <v>9.2250000000000006E-3</v>
      </c>
    </row>
    <row r="135" spans="1:18" x14ac:dyDescent="0.3">
      <c r="A135" s="29">
        <v>4</v>
      </c>
      <c r="B135" s="24" t="s">
        <v>186</v>
      </c>
      <c r="C135" s="15">
        <f>HLOOKUP('PRSA Transfer Form'!$B$26,$M$132:$Q$135,$A135)</f>
        <v>1.23E-2</v>
      </c>
      <c r="E135" s="15">
        <f t="shared" si="16"/>
        <v>1.23E-2</v>
      </c>
      <c r="F135" s="15" t="s">
        <v>256</v>
      </c>
      <c r="M135" s="51">
        <f>1%+(23%*1%)</f>
        <v>1.23E-2</v>
      </c>
      <c r="N135" s="52">
        <f>1%+(23%*1%)</f>
        <v>1.23E-2</v>
      </c>
      <c r="O135" s="52">
        <f>0.85%+(0.85%*23%)</f>
        <v>1.0455000000000001E-2</v>
      </c>
      <c r="P135" s="52">
        <f>0.75%+(0.75%*23%)</f>
        <v>9.2250000000000006E-3</v>
      </c>
      <c r="Q135" s="53">
        <f>0.5%+(0.5%*23%)</f>
        <v>6.1500000000000001E-3</v>
      </c>
    </row>
    <row r="136" spans="1:18" x14ac:dyDescent="0.3">
      <c r="A136" s="29">
        <v>5</v>
      </c>
      <c r="B136" s="24" t="s">
        <v>187</v>
      </c>
      <c r="C136" s="15">
        <f>HLOOKUP('PRSA Transfer Form'!$B$26,$M$132:$Q$137,$A136)</f>
        <v>0.02</v>
      </c>
      <c r="E136" s="15">
        <f t="shared" si="16"/>
        <v>0.02</v>
      </c>
      <c r="F136" s="15" t="s">
        <v>256</v>
      </c>
      <c r="M136" s="51">
        <v>0.02</v>
      </c>
      <c r="N136" s="52">
        <v>0.01</v>
      </c>
      <c r="O136" s="52">
        <v>0.01</v>
      </c>
      <c r="P136" s="52">
        <v>0.01</v>
      </c>
      <c r="Q136" s="53">
        <v>0.01</v>
      </c>
    </row>
    <row r="137" spans="1:18" ht="15" thickBot="1" x14ac:dyDescent="0.35">
      <c r="A137" s="29">
        <v>6</v>
      </c>
      <c r="B137" s="24" t="s">
        <v>188</v>
      </c>
      <c r="C137" s="15">
        <f>HLOOKUP('PRSA Transfer Form'!$B$26,$M$132:$Q$137,$A137)</f>
        <v>0.02</v>
      </c>
      <c r="E137" s="15">
        <f t="shared" si="16"/>
        <v>0.02</v>
      </c>
      <c r="F137" s="15" t="s">
        <v>256</v>
      </c>
      <c r="M137" s="122">
        <v>0.02</v>
      </c>
      <c r="N137" s="123">
        <v>0.01</v>
      </c>
      <c r="O137" s="123">
        <v>0.01</v>
      </c>
      <c r="P137" s="123">
        <v>0.01</v>
      </c>
      <c r="Q137" s="124">
        <v>0.01</v>
      </c>
    </row>
    <row r="138" spans="1:18" ht="15" thickBot="1" x14ac:dyDescent="0.35">
      <c r="E138" s="15"/>
      <c r="F138" s="15"/>
      <c r="O138"/>
    </row>
    <row r="139" spans="1:18" s="65" customFormat="1" ht="13.8" thickBot="1" x14ac:dyDescent="0.3">
      <c r="A139" s="67" t="s">
        <v>191</v>
      </c>
      <c r="C139" s="66"/>
      <c r="D139" s="66"/>
      <c r="E139" s="66"/>
      <c r="F139" s="66"/>
    </row>
    <row r="140" spans="1:18" s="62" customFormat="1" ht="13.8" thickBot="1" x14ac:dyDescent="0.3">
      <c r="A140" s="73"/>
      <c r="C140" s="63"/>
      <c r="D140" s="63"/>
      <c r="E140" s="63"/>
      <c r="F140" s="63"/>
      <c r="R140" s="64"/>
    </row>
    <row r="141" spans="1:18" ht="15" thickBot="1" x14ac:dyDescent="0.35">
      <c r="C141"/>
      <c r="D141"/>
      <c r="E141" s="259" t="s">
        <v>230</v>
      </c>
      <c r="F141" s="259"/>
      <c r="G141" s="259"/>
      <c r="H141" s="259"/>
      <c r="I141" s="259"/>
      <c r="M141" s="263" t="s">
        <v>191</v>
      </c>
      <c r="N141" s="264"/>
      <c r="O141" s="264"/>
      <c r="P141" s="264"/>
      <c r="Q141" s="264"/>
      <c r="R141" s="265"/>
    </row>
    <row r="142" spans="1:18" x14ac:dyDescent="0.3">
      <c r="C142"/>
      <c r="D142"/>
      <c r="E142" s="1" t="s">
        <v>196</v>
      </c>
      <c r="F142" s="1" t="s">
        <v>223</v>
      </c>
      <c r="G142" s="1" t="s">
        <v>206</v>
      </c>
      <c r="H142" s="1" t="s">
        <v>207</v>
      </c>
      <c r="I142" s="1" t="s">
        <v>24</v>
      </c>
      <c r="M142" s="60">
        <v>0</v>
      </c>
      <c r="N142" s="19">
        <v>50000</v>
      </c>
      <c r="O142" s="19">
        <v>100000</v>
      </c>
      <c r="P142" s="19">
        <v>200000</v>
      </c>
      <c r="Q142" s="19">
        <v>500000</v>
      </c>
      <c r="R142" s="61">
        <v>1000000</v>
      </c>
    </row>
    <row r="143" spans="1:18" x14ac:dyDescent="0.3">
      <c r="A143" s="29">
        <v>2</v>
      </c>
      <c r="B143" s="23" t="s">
        <v>50</v>
      </c>
      <c r="C143" s="15">
        <f>HLOOKUP('PRSA Transfer Form'!$B$26,$M$142:$R$148,$A143)</f>
        <v>2.5000000000000001E-2</v>
      </c>
      <c r="E143" s="15" t="str">
        <f>"Based on the transfer value, ITC apply a charge of "&amp;C143*100&amp;"% inclusive of any trail.  "</f>
        <v xml:space="preserve">Based on the transfer value, ITC apply a charge of 2.5% inclusive of any trail.  </v>
      </c>
      <c r="F143" s="15" t="s">
        <v>255</v>
      </c>
      <c r="M143" s="51">
        <v>2.5000000000000001E-2</v>
      </c>
      <c r="N143" s="52">
        <v>1.4999999999999999E-2</v>
      </c>
      <c r="O143" s="52">
        <v>0.01</v>
      </c>
      <c r="P143" s="52">
        <v>0.01</v>
      </c>
      <c r="Q143" s="52">
        <v>0.01</v>
      </c>
      <c r="R143" s="53">
        <v>7.4999999999999997E-3</v>
      </c>
    </row>
    <row r="144" spans="1:18" x14ac:dyDescent="0.3">
      <c r="A144" s="29">
        <v>3</v>
      </c>
      <c r="B144" s="23" t="s">
        <v>53</v>
      </c>
      <c r="C144" s="15">
        <f>HLOOKUP('PRSA Transfer Form'!$B$26,$M$142:$R$148,$A144)</f>
        <v>2.5000000000000001E-2</v>
      </c>
      <c r="E144" s="15" t="str">
        <f t="shared" ref="E144:E148" si="17">"Based on the transfer value, ITC apply a charge of "&amp;C144*100&amp;"% inclusive of any trail.  "</f>
        <v xml:space="preserve">Based on the transfer value, ITC apply a charge of 2.5% inclusive of any trail.  </v>
      </c>
      <c r="F144" s="15" t="s">
        <v>255</v>
      </c>
      <c r="M144" s="20">
        <v>2.5000000000000001E-2</v>
      </c>
      <c r="N144" s="54">
        <v>1.4999999999999999E-2</v>
      </c>
      <c r="O144" s="52">
        <v>0.01</v>
      </c>
      <c r="P144" s="54">
        <v>0.01</v>
      </c>
      <c r="Q144" s="54">
        <v>5.0000000000000001E-3</v>
      </c>
      <c r="R144" s="55">
        <v>4.0000000000000001E-3</v>
      </c>
    </row>
    <row r="145" spans="1:18" x14ac:dyDescent="0.3">
      <c r="A145" s="29">
        <v>4</v>
      </c>
      <c r="B145" s="23" t="s">
        <v>54</v>
      </c>
      <c r="C145" s="15">
        <f>HLOOKUP('PRSA Transfer Form'!$B$26,$M$142:$R$148,$A145)</f>
        <v>2.5000000000000001E-2</v>
      </c>
      <c r="E145" s="15" t="str">
        <f t="shared" si="17"/>
        <v xml:space="preserve">Based on the transfer value, ITC apply a charge of 2.5% inclusive of any trail.  </v>
      </c>
      <c r="F145" s="15" t="s">
        <v>255</v>
      </c>
      <c r="M145" s="20">
        <v>2.5000000000000001E-2</v>
      </c>
      <c r="N145" s="54">
        <v>1.4999999999999999E-2</v>
      </c>
      <c r="O145" s="52">
        <v>0.01</v>
      </c>
      <c r="P145" s="54">
        <v>0.01</v>
      </c>
      <c r="Q145" s="54">
        <v>7.0000000000000001E-3</v>
      </c>
      <c r="R145" s="55">
        <v>6.0000000000000001E-3</v>
      </c>
    </row>
    <row r="146" spans="1:18" x14ac:dyDescent="0.3">
      <c r="A146" s="29">
        <v>5</v>
      </c>
      <c r="B146" s="23" t="s">
        <v>181</v>
      </c>
      <c r="C146" s="15">
        <f>HLOOKUP('PRSA Transfer Form'!$B$26,$M$142:$R$148,$A146)</f>
        <v>3.5000000000000003E-2</v>
      </c>
      <c r="E146" s="15" t="str">
        <f t="shared" si="17"/>
        <v xml:space="preserve">Based on the transfer value, ITC apply a charge of 3.5% inclusive of any trail.  </v>
      </c>
      <c r="F146" s="15" t="s">
        <v>255</v>
      </c>
      <c r="M146" s="20">
        <v>3.5000000000000003E-2</v>
      </c>
      <c r="N146" s="16">
        <v>2.3E-2</v>
      </c>
      <c r="O146" s="16">
        <v>1.7999999999999999E-2</v>
      </c>
      <c r="P146" s="16">
        <v>1.4999999999999999E-2</v>
      </c>
      <c r="Q146" s="16">
        <v>1.4999999999999999E-2</v>
      </c>
      <c r="R146" s="21">
        <v>1.4999999999999999E-2</v>
      </c>
    </row>
    <row r="147" spans="1:18" x14ac:dyDescent="0.3">
      <c r="A147" s="29">
        <v>6</v>
      </c>
      <c r="B147" s="23" t="s">
        <v>182</v>
      </c>
      <c r="C147" s="15">
        <f>HLOOKUP('PRSA Transfer Form'!$B$26,$M$142:$R$148,$A147)</f>
        <v>3.2500000000000001E-2</v>
      </c>
      <c r="E147" s="15" t="str">
        <f t="shared" si="17"/>
        <v xml:space="preserve">Based on the transfer value, ITC apply a charge of 3.25% inclusive of any trail.  </v>
      </c>
      <c r="F147" s="15" t="s">
        <v>255</v>
      </c>
      <c r="M147" s="56">
        <v>3.2500000000000001E-2</v>
      </c>
      <c r="N147" s="54">
        <v>2.0500000000000001E-2</v>
      </c>
      <c r="O147" s="54">
        <v>1.55E-2</v>
      </c>
      <c r="P147" s="16">
        <v>1.2500000000000001E-2</v>
      </c>
      <c r="Q147" s="54">
        <v>1.2500000000000001E-2</v>
      </c>
      <c r="R147" s="55">
        <v>1.2500000000000001E-2</v>
      </c>
    </row>
    <row r="148" spans="1:18" ht="15" thickBot="1" x14ac:dyDescent="0.35">
      <c r="A148" s="29">
        <v>7</v>
      </c>
      <c r="B148" s="23" t="s">
        <v>183</v>
      </c>
      <c r="C148" s="15">
        <f>HLOOKUP('PRSA Transfer Form'!$B$26,$M$142:$R$148,$A148)</f>
        <v>0.03</v>
      </c>
      <c r="E148" s="15" t="str">
        <f t="shared" si="17"/>
        <v xml:space="preserve">Based on the transfer value, ITC apply a charge of 3% inclusive of any trail.  </v>
      </c>
      <c r="F148" s="15" t="s">
        <v>255</v>
      </c>
      <c r="M148" s="57">
        <v>0.03</v>
      </c>
      <c r="N148" s="58">
        <v>1.7999999999999999E-2</v>
      </c>
      <c r="O148" s="58">
        <v>1.2999999999999999E-2</v>
      </c>
      <c r="P148" s="22">
        <v>0.01</v>
      </c>
      <c r="Q148" s="58">
        <v>0.01</v>
      </c>
      <c r="R148" s="59">
        <v>0.01</v>
      </c>
    </row>
    <row r="149" spans="1:18" ht="15" thickBot="1" x14ac:dyDescent="0.35">
      <c r="C149"/>
      <c r="D149"/>
    </row>
    <row r="150" spans="1:18" s="65" customFormat="1" ht="13.8" thickBot="1" x14ac:dyDescent="0.3">
      <c r="A150" s="67" t="s">
        <v>231</v>
      </c>
      <c r="O150" s="68"/>
    </row>
    <row r="151" spans="1:18" ht="15" thickBot="1" x14ac:dyDescent="0.35">
      <c r="C151"/>
      <c r="D151"/>
    </row>
    <row r="152" spans="1:18" ht="15" thickBot="1" x14ac:dyDescent="0.35">
      <c r="C152"/>
      <c r="D152"/>
      <c r="E152" s="259" t="s">
        <v>230</v>
      </c>
      <c r="F152" s="259"/>
      <c r="G152" s="259"/>
      <c r="H152" s="259"/>
      <c r="I152" s="259"/>
      <c r="M152" s="260" t="s">
        <v>316</v>
      </c>
      <c r="N152" s="261"/>
      <c r="O152" s="261"/>
      <c r="P152" s="262"/>
    </row>
    <row r="153" spans="1:18" x14ac:dyDescent="0.3">
      <c r="C153"/>
      <c r="D153"/>
      <c r="E153" s="1" t="s">
        <v>196</v>
      </c>
      <c r="F153" s="1" t="s">
        <v>223</v>
      </c>
      <c r="G153" s="1" t="s">
        <v>206</v>
      </c>
      <c r="H153" s="1" t="s">
        <v>207</v>
      </c>
      <c r="I153" s="1" t="s">
        <v>24</v>
      </c>
      <c r="M153" s="60">
        <v>0</v>
      </c>
      <c r="N153" s="19">
        <v>1000000</v>
      </c>
      <c r="O153" s="19">
        <v>1500000</v>
      </c>
      <c r="P153" s="61">
        <v>3000000</v>
      </c>
    </row>
    <row r="154" spans="1:18" x14ac:dyDescent="0.3">
      <c r="A154" s="29">
        <v>2</v>
      </c>
      <c r="B154" s="31" t="s">
        <v>189</v>
      </c>
      <c r="C154" s="15">
        <f>HLOOKUP('PRSA Transfer Form'!$B$26,$M$153:$P$157,$A154)</f>
        <v>1.2500000000000001E-2</v>
      </c>
      <c r="D154" s="107"/>
      <c r="E154" s="15">
        <f t="shared" ref="E154" si="18">IF(D154=0,C154,"From "&amp;TEXT(ROUND(C154*100,2),"#0.#0")&amp;"% to "&amp;TEXT(ROUND((D154+C154)*100,2),"#0.#0")&amp;"% depending on funds chosen.")</f>
        <v>1.2500000000000001E-2</v>
      </c>
      <c r="F154" s="15" t="s">
        <v>318</v>
      </c>
      <c r="M154" s="51">
        <v>1.2500000000000001E-2</v>
      </c>
      <c r="N154" s="52">
        <v>0.01</v>
      </c>
      <c r="O154" s="52">
        <v>7.4999999999999997E-3</v>
      </c>
      <c r="P154" s="53">
        <v>6.0000000000000001E-3</v>
      </c>
    </row>
    <row r="155" spans="1:18" x14ac:dyDescent="0.3">
      <c r="A155" s="29">
        <v>3</v>
      </c>
      <c r="B155" s="31" t="s">
        <v>291</v>
      </c>
      <c r="C155" s="15">
        <f>HLOOKUP('PRSA Transfer Form'!$B$26,$M$153:$P$157,$A155)</f>
        <v>0.01</v>
      </c>
      <c r="E155" s="15">
        <f t="shared" ref="E155:E157" si="19">IF(D155=0,C155,"From "&amp;TEXT(ROUND(C155*100,2),"#0.#0")&amp;"% to "&amp;TEXT(ROUND((D155+C155)*100,2),"#0.#0")&amp;"% depending on funds chosen.")</f>
        <v>0.01</v>
      </c>
      <c r="F155" s="15" t="s">
        <v>318</v>
      </c>
      <c r="M155" s="20">
        <v>0.01</v>
      </c>
      <c r="N155" s="54">
        <v>7.4999999999999997E-3</v>
      </c>
      <c r="O155" s="52">
        <v>5.0000000000000001E-3</v>
      </c>
      <c r="P155" s="55">
        <v>3.5000000000000001E-3</v>
      </c>
    </row>
    <row r="156" spans="1:18" x14ac:dyDescent="0.3">
      <c r="A156" s="29">
        <v>4</v>
      </c>
      <c r="B156" s="31" t="s">
        <v>292</v>
      </c>
      <c r="C156" s="15">
        <f>HLOOKUP('PRSA Transfer Form'!$B$26,$M$153:$P$157,$A156)</f>
        <v>1E-4</v>
      </c>
      <c r="E156" s="15">
        <f t="shared" si="19"/>
        <v>1E-4</v>
      </c>
      <c r="F156" s="15" t="s">
        <v>318</v>
      </c>
      <c r="M156" s="20">
        <v>1E-4</v>
      </c>
      <c r="N156" s="54">
        <v>1E-4</v>
      </c>
      <c r="O156" s="52">
        <v>1E-4</v>
      </c>
      <c r="P156" s="55">
        <v>1E-4</v>
      </c>
    </row>
    <row r="157" spans="1:18" x14ac:dyDescent="0.3">
      <c r="A157" s="29">
        <v>5</v>
      </c>
      <c r="B157" s="31" t="s">
        <v>190</v>
      </c>
      <c r="C157" s="15">
        <f>HLOOKUP('PRSA Transfer Form'!$B$26,$M$153:$P$157,$A157)</f>
        <v>6.4999999999999997E-3</v>
      </c>
      <c r="E157" s="15">
        <f t="shared" si="19"/>
        <v>6.4999999999999997E-3</v>
      </c>
      <c r="F157" s="15" t="s">
        <v>318</v>
      </c>
      <c r="M157" s="51">
        <v>6.4999999999999997E-3</v>
      </c>
      <c r="N157" s="52">
        <v>6.4999999999999997E-3</v>
      </c>
      <c r="O157" s="52">
        <v>5.0000000000000001E-3</v>
      </c>
      <c r="P157" s="53">
        <v>3.5000000000000001E-3</v>
      </c>
    </row>
    <row r="158" spans="1:18" ht="15" thickBot="1" x14ac:dyDescent="0.35">
      <c r="C158"/>
      <c r="D158"/>
      <c r="O158"/>
    </row>
    <row r="159" spans="1:18" s="65" customFormat="1" ht="13.8" thickBot="1" x14ac:dyDescent="0.3">
      <c r="A159" s="67" t="s">
        <v>232</v>
      </c>
      <c r="O159" s="68"/>
    </row>
    <row r="160" spans="1:18" ht="15" thickBot="1" x14ac:dyDescent="0.35">
      <c r="C160"/>
      <c r="D160"/>
      <c r="O160"/>
    </row>
    <row r="161" spans="1:19" ht="15" thickBot="1" x14ac:dyDescent="0.35">
      <c r="C161"/>
      <c r="D161"/>
      <c r="E161" s="259" t="s">
        <v>230</v>
      </c>
      <c r="F161" s="259"/>
      <c r="G161" s="259"/>
      <c r="H161" s="259"/>
      <c r="I161" s="259"/>
      <c r="M161" s="263" t="s">
        <v>232</v>
      </c>
      <c r="N161" s="264"/>
      <c r="O161" s="264"/>
      <c r="P161" s="264"/>
      <c r="Q161" s="264"/>
      <c r="R161" s="265"/>
    </row>
    <row r="162" spans="1:19" x14ac:dyDescent="0.3">
      <c r="C162"/>
      <c r="D162"/>
      <c r="E162" s="1" t="s">
        <v>196</v>
      </c>
      <c r="F162" s="1" t="s">
        <v>223</v>
      </c>
      <c r="G162" s="1" t="s">
        <v>206</v>
      </c>
      <c r="H162" s="1" t="s">
        <v>207</v>
      </c>
      <c r="I162" s="1" t="s">
        <v>24</v>
      </c>
      <c r="M162" s="60">
        <v>0</v>
      </c>
      <c r="N162" s="60">
        <v>25000</v>
      </c>
      <c r="O162" s="60">
        <v>100000</v>
      </c>
      <c r="P162" s="60">
        <v>500000</v>
      </c>
      <c r="Q162" s="60">
        <v>2000000</v>
      </c>
      <c r="R162" s="60">
        <v>5000000</v>
      </c>
    </row>
    <row r="163" spans="1:19" x14ac:dyDescent="0.3">
      <c r="A163" s="29">
        <v>2</v>
      </c>
      <c r="B163" s="23" t="s">
        <v>51</v>
      </c>
      <c r="C163" s="15">
        <f>HLOOKUP('PRSA Transfer Form'!$B$26,$M$162:$R$163,$A163)</f>
        <v>2.5000000000000001E-2</v>
      </c>
      <c r="E163" s="15">
        <f t="shared" ref="E163" si="20">IF(D163=0,C163,"From "&amp;TEXT(ROUND(C163*100,2),"#0.#0")&amp;"% to "&amp;TEXT(ROUND((D163+C163)*100,2),"#0.#0")&amp;"% depending on funds chosen.")</f>
        <v>2.5000000000000001E-2</v>
      </c>
      <c r="F163" s="15" t="s">
        <v>319</v>
      </c>
      <c r="M163" s="51">
        <v>2.5000000000000001E-2</v>
      </c>
      <c r="N163" s="51">
        <v>1.4999999999999999E-2</v>
      </c>
      <c r="O163" s="51">
        <v>0.01</v>
      </c>
      <c r="P163" s="51">
        <v>5.0000000000000001E-3</v>
      </c>
      <c r="Q163" s="51">
        <v>4.0000000000000001E-3</v>
      </c>
      <c r="R163" s="51">
        <v>2.5000000000000001E-3</v>
      </c>
    </row>
    <row r="164" spans="1:19" ht="15" thickBot="1" x14ac:dyDescent="0.35">
      <c r="C164"/>
      <c r="D164"/>
      <c r="O164"/>
    </row>
    <row r="165" spans="1:19" s="65" customFormat="1" ht="13.8" thickBot="1" x14ac:dyDescent="0.3">
      <c r="A165" s="67" t="s">
        <v>233</v>
      </c>
      <c r="O165" s="68"/>
    </row>
    <row r="166" spans="1:19" x14ac:dyDescent="0.3">
      <c r="C166"/>
      <c r="D166"/>
      <c r="O166"/>
    </row>
    <row r="167" spans="1:19" ht="15" thickBot="1" x14ac:dyDescent="0.35">
      <c r="C167"/>
      <c r="D167"/>
      <c r="E167" s="259" t="s">
        <v>230</v>
      </c>
      <c r="F167" s="259"/>
      <c r="G167" s="259"/>
      <c r="H167" s="259"/>
      <c r="I167" s="259"/>
      <c r="M167" s="266" t="s">
        <v>233</v>
      </c>
      <c r="N167" s="267"/>
      <c r="O167" s="267"/>
      <c r="P167" s="267"/>
      <c r="Q167" s="267"/>
    </row>
    <row r="168" spans="1:19" x14ac:dyDescent="0.3">
      <c r="C168"/>
      <c r="D168"/>
      <c r="E168" s="1" t="s">
        <v>196</v>
      </c>
      <c r="F168" s="1" t="s">
        <v>223</v>
      </c>
      <c r="G168" s="1" t="s">
        <v>206</v>
      </c>
      <c r="H168" s="1" t="s">
        <v>207</v>
      </c>
      <c r="I168" s="1" t="s">
        <v>24</v>
      </c>
      <c r="M168" s="60">
        <v>0</v>
      </c>
      <c r="N168" s="19">
        <v>50000</v>
      </c>
      <c r="O168" s="19">
        <v>250000</v>
      </c>
      <c r="P168" s="19">
        <v>500000</v>
      </c>
      <c r="Q168" s="61">
        <v>1500000</v>
      </c>
    </row>
    <row r="169" spans="1:19" x14ac:dyDescent="0.3">
      <c r="A169" s="29">
        <v>2</v>
      </c>
      <c r="B169" s="31" t="s">
        <v>52</v>
      </c>
      <c r="C169" s="15">
        <f>HLOOKUP('PRSA Transfer Form'!$B$26,$M$168:$Q$169,$A169)</f>
        <v>2.5000000000000001E-2</v>
      </c>
      <c r="E169" s="15">
        <f t="shared" ref="E169" si="21">IF(D169=0,C169,"From "&amp;TEXT(ROUND(C169*100,2),"#0.#0")&amp;"% to "&amp;TEXT(ROUND((D169+C169)*100,2),"#0.#0")&amp;"% depending on funds chosen.")</f>
        <v>2.5000000000000001E-2</v>
      </c>
      <c r="F169" s="15" t="s">
        <v>318</v>
      </c>
      <c r="M169" s="51">
        <v>2.5000000000000001E-2</v>
      </c>
      <c r="N169" s="52">
        <v>1.2500000000000001E-2</v>
      </c>
      <c r="O169" s="52">
        <v>0.01</v>
      </c>
      <c r="P169" s="52">
        <v>6.0000000000000001E-3</v>
      </c>
      <c r="Q169" s="53">
        <v>5.0000000000000001E-3</v>
      </c>
    </row>
    <row r="170" spans="1:19" ht="15" thickBot="1" x14ac:dyDescent="0.35">
      <c r="C170"/>
      <c r="D170"/>
      <c r="O170"/>
    </row>
    <row r="171" spans="1:19" s="65" customFormat="1" ht="13.8" thickBot="1" x14ac:dyDescent="0.3">
      <c r="A171" s="67" t="s">
        <v>316</v>
      </c>
      <c r="O171" s="68"/>
    </row>
    <row r="172" spans="1:19" x14ac:dyDescent="0.3">
      <c r="C172"/>
      <c r="D172"/>
      <c r="E172" s="259" t="s">
        <v>230</v>
      </c>
      <c r="F172" s="259"/>
      <c r="G172" s="259"/>
      <c r="H172" s="259"/>
      <c r="I172" s="259"/>
      <c r="M172" s="268" t="s">
        <v>316</v>
      </c>
      <c r="N172" s="269"/>
      <c r="O172" s="269"/>
      <c r="P172" s="269"/>
      <c r="Q172" s="269"/>
      <c r="R172" s="269"/>
      <c r="S172" s="269"/>
    </row>
    <row r="173" spans="1:19" x14ac:dyDescent="0.3">
      <c r="C173"/>
      <c r="D173"/>
      <c r="E173" s="1" t="s">
        <v>196</v>
      </c>
      <c r="F173" s="1" t="s">
        <v>223</v>
      </c>
      <c r="G173" s="1" t="s">
        <v>206</v>
      </c>
      <c r="H173" s="1" t="s">
        <v>207</v>
      </c>
      <c r="I173" s="1" t="s">
        <v>24</v>
      </c>
      <c r="M173" s="112">
        <v>0</v>
      </c>
      <c r="N173" s="112">
        <v>100000</v>
      </c>
      <c r="O173" s="112">
        <v>250000</v>
      </c>
      <c r="P173" s="112">
        <v>500000</v>
      </c>
      <c r="Q173" s="112">
        <v>1000000</v>
      </c>
      <c r="R173" s="112">
        <v>2000000</v>
      </c>
      <c r="S173" s="112">
        <v>5000000</v>
      </c>
    </row>
    <row r="174" spans="1:19" x14ac:dyDescent="0.3">
      <c r="A174" s="29">
        <v>2</v>
      </c>
      <c r="B174" s="23" t="s">
        <v>310</v>
      </c>
      <c r="C174" s="15">
        <f>HLOOKUP('PRSA Transfer Form'!$B$26,$M$173:$S$180,$A174)</f>
        <v>1.2500000000000001E-2</v>
      </c>
      <c r="E174" s="15">
        <f t="shared" ref="E174" si="22">IF(D174=0,C174,"From "&amp;TEXT(ROUND(C174*100,2),"#0.#0")&amp;"% to "&amp;TEXT(ROUND((D174+C174)*100,2),"#0.#0")&amp;"% depending on funds chosen.")</f>
        <v>1.2500000000000001E-2</v>
      </c>
      <c r="F174" s="15" t="s">
        <v>320</v>
      </c>
      <c r="M174" s="52">
        <v>1.2500000000000001E-2</v>
      </c>
      <c r="N174" s="52">
        <v>8.0000000000000002E-3</v>
      </c>
      <c r="O174" s="52">
        <v>8.0000000000000002E-3</v>
      </c>
      <c r="P174" s="52">
        <v>6.4999999999999997E-3</v>
      </c>
      <c r="Q174" s="52">
        <v>5.0000000000000001E-3</v>
      </c>
      <c r="R174" s="52">
        <v>5.0000000000000001E-3</v>
      </c>
      <c r="S174" s="52">
        <v>5.0000000000000001E-3</v>
      </c>
    </row>
    <row r="175" spans="1:19" x14ac:dyDescent="0.3">
      <c r="A175" s="29">
        <v>3</v>
      </c>
      <c r="B175" s="23" t="s">
        <v>312</v>
      </c>
      <c r="C175" s="15">
        <f>HLOOKUP('PRSA Transfer Form'!$B$26,$M$173:$S$180,$A175)</f>
        <v>1.4999999999999999E-2</v>
      </c>
      <c r="E175" s="15">
        <f t="shared" ref="E175:E177" si="23">IF(D175=0,C175,"From "&amp;TEXT(ROUND(C175*100,2),"#0.#0")&amp;"% to "&amp;TEXT(ROUND((D175+C175)*100,2),"#0.#0")&amp;"% depending on funds chosen.")</f>
        <v>1.4999999999999999E-2</v>
      </c>
      <c r="F175" s="15" t="s">
        <v>320</v>
      </c>
      <c r="M175" s="16">
        <v>1.4999999999999999E-2</v>
      </c>
      <c r="N175" s="54">
        <v>1.0999999999999999E-2</v>
      </c>
      <c r="O175" s="54">
        <v>1.0999999999999999E-2</v>
      </c>
      <c r="P175" s="52">
        <v>8.9999999999999993E-3</v>
      </c>
      <c r="Q175" s="54">
        <v>7.4999999999999997E-3</v>
      </c>
      <c r="R175" s="54">
        <v>7.4999999999999997E-3</v>
      </c>
      <c r="S175" s="54">
        <v>7.4999999999999997E-3</v>
      </c>
    </row>
    <row r="176" spans="1:19" x14ac:dyDescent="0.3">
      <c r="A176" s="29">
        <v>4</v>
      </c>
      <c r="B176" s="23" t="s">
        <v>311</v>
      </c>
      <c r="C176" s="15">
        <f>HLOOKUP('PRSA Transfer Form'!$B$26,$M$173:$S$180,$A176)</f>
        <v>0.03</v>
      </c>
      <c r="E176" s="15">
        <f t="shared" si="23"/>
        <v>0.03</v>
      </c>
      <c r="F176" s="15" t="s">
        <v>320</v>
      </c>
      <c r="M176" s="16">
        <v>0.03</v>
      </c>
      <c r="N176" s="54">
        <v>0.03</v>
      </c>
      <c r="O176" s="54">
        <v>1.4999999999999999E-2</v>
      </c>
      <c r="P176" s="52">
        <v>1.4999999999999999E-2</v>
      </c>
      <c r="Q176" s="54">
        <v>1.4999999999999999E-2</v>
      </c>
      <c r="R176" s="54">
        <v>1.2500000000000001E-2</v>
      </c>
      <c r="S176" s="54">
        <v>0.01</v>
      </c>
    </row>
    <row r="177" spans="1:19" x14ac:dyDescent="0.3">
      <c r="A177" s="29">
        <v>5</v>
      </c>
      <c r="B177" s="23" t="s">
        <v>313</v>
      </c>
      <c r="C177" s="15">
        <f>HLOOKUP('PRSA Transfer Form'!$B$26,$M$173:$S$180,$A177)</f>
        <v>1.2500000000000001E-2</v>
      </c>
      <c r="E177" s="15">
        <f t="shared" si="23"/>
        <v>1.2500000000000001E-2</v>
      </c>
      <c r="F177" s="15" t="s">
        <v>320</v>
      </c>
      <c r="M177" s="52">
        <v>1.2500000000000001E-2</v>
      </c>
      <c r="N177" s="52">
        <v>0.01</v>
      </c>
      <c r="O177" s="52">
        <v>0.01</v>
      </c>
      <c r="P177" s="52">
        <v>8.9999999999999993E-3</v>
      </c>
      <c r="Q177" s="52">
        <v>8.9999999999999993E-3</v>
      </c>
      <c r="R177" s="52">
        <v>8.9999999999999993E-3</v>
      </c>
      <c r="S177" s="52">
        <v>8.9999999999999993E-3</v>
      </c>
    </row>
    <row r="178" spans="1:19" x14ac:dyDescent="0.3">
      <c r="A178" s="29">
        <v>6</v>
      </c>
      <c r="B178" s="23" t="s">
        <v>314</v>
      </c>
      <c r="C178" s="15">
        <f>HLOOKUP('PRSA Transfer Form'!$B$26,$M$173:$S$180,$A178)</f>
        <v>1.7500000000000002E-2</v>
      </c>
      <c r="E178" s="15">
        <f t="shared" ref="E178:E180" si="24">IF(D178=0,C178,"From "&amp;TEXT(ROUND(C178*100,2),"#0.#0")&amp;"% to "&amp;TEXT(ROUND((D178+C178)*100,2),"#0.#0")&amp;"% depending on funds chosen.")</f>
        <v>1.7500000000000002E-2</v>
      </c>
      <c r="F178" s="15" t="s">
        <v>320</v>
      </c>
      <c r="M178" s="52">
        <v>1.7500000000000002E-2</v>
      </c>
      <c r="N178" s="52">
        <v>1.2500000000000001E-2</v>
      </c>
      <c r="O178" s="52">
        <v>1.2500000000000001E-2</v>
      </c>
      <c r="P178" s="52">
        <v>1.0999999999999999E-2</v>
      </c>
      <c r="Q178" s="52">
        <v>0.01</v>
      </c>
      <c r="R178" s="52">
        <v>0.01</v>
      </c>
      <c r="S178" s="52">
        <v>0.01</v>
      </c>
    </row>
    <row r="179" spans="1:19" x14ac:dyDescent="0.3">
      <c r="A179" s="29">
        <v>7</v>
      </c>
      <c r="B179" s="23" t="s">
        <v>315</v>
      </c>
      <c r="C179" s="15">
        <f>HLOOKUP('PRSA Transfer Form'!$B$26,$M$173:$S$180,$A179)</f>
        <v>0.03</v>
      </c>
      <c r="E179" s="15">
        <f t="shared" ref="E179" si="25">IF(D179=0,C179,"From "&amp;TEXT(ROUND(C179*100,2),"#0.#0")&amp;"% to "&amp;TEXT(ROUND((D179+C179)*100,2),"#0.#0")&amp;"% depending on funds chosen.")</f>
        <v>0.03</v>
      </c>
      <c r="F179" s="15" t="s">
        <v>320</v>
      </c>
      <c r="M179" s="16">
        <v>0.03</v>
      </c>
      <c r="N179" s="54">
        <v>0.03</v>
      </c>
      <c r="O179" s="54">
        <v>1.4999999999999999E-2</v>
      </c>
      <c r="P179" s="52">
        <v>1.4999999999999999E-2</v>
      </c>
      <c r="Q179" s="54">
        <v>1.4999999999999999E-2</v>
      </c>
      <c r="R179" s="54">
        <v>1.2500000000000001E-2</v>
      </c>
      <c r="S179" s="54">
        <v>0.01</v>
      </c>
    </row>
    <row r="180" spans="1:19" x14ac:dyDescent="0.3">
      <c r="A180" s="29">
        <v>8</v>
      </c>
      <c r="B180" s="23" t="s">
        <v>309</v>
      </c>
      <c r="C180" s="15">
        <f>HLOOKUP('PRSA Transfer Form'!$B$26,$M$173:$S$180,$A180)</f>
        <v>2.5000000000000001E-3</v>
      </c>
      <c r="E180" s="15">
        <f t="shared" si="24"/>
        <v>2.5000000000000001E-3</v>
      </c>
      <c r="F180" s="15" t="s">
        <v>320</v>
      </c>
      <c r="M180" s="113">
        <v>2.5000000000000001E-3</v>
      </c>
      <c r="N180" s="113">
        <v>2.5000000000000001E-3</v>
      </c>
      <c r="O180" s="113">
        <v>2.5000000000000001E-3</v>
      </c>
      <c r="P180" s="113">
        <v>2.5000000000000001E-3</v>
      </c>
      <c r="Q180" s="113">
        <v>2.5000000000000001E-3</v>
      </c>
      <c r="R180" s="113">
        <v>2.5000000000000001E-3</v>
      </c>
      <c r="S180" s="113">
        <v>2.5000000000000001E-3</v>
      </c>
    </row>
    <row r="182" spans="1:19" x14ac:dyDescent="0.3">
      <c r="B182" s="107">
        <f>0.6%*123%</f>
        <v>7.3800000000000003E-3</v>
      </c>
    </row>
    <row r="183" spans="1:19" x14ac:dyDescent="0.3">
      <c r="B183" s="108">
        <f>1.25%*123%</f>
        <v>1.5375E-2</v>
      </c>
    </row>
    <row r="184" spans="1:19" x14ac:dyDescent="0.3">
      <c r="B184" s="109">
        <f>B183-B182</f>
        <v>7.9949999999999986E-3</v>
      </c>
    </row>
  </sheetData>
  <mergeCells count="13">
    <mergeCell ref="E2:I2"/>
    <mergeCell ref="M141:R141"/>
    <mergeCell ref="E131:I131"/>
    <mergeCell ref="E141:I141"/>
    <mergeCell ref="M131:Q131"/>
    <mergeCell ref="E161:I161"/>
    <mergeCell ref="M152:P152"/>
    <mergeCell ref="E172:I172"/>
    <mergeCell ref="E167:I167"/>
    <mergeCell ref="E152:I152"/>
    <mergeCell ref="M161:R161"/>
    <mergeCell ref="M167:Q167"/>
    <mergeCell ref="M172:S17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88D8-EF32-4526-A546-77B333720599}">
  <sheetPr codeName="Sheet3"/>
  <dimension ref="A1:I44"/>
  <sheetViews>
    <sheetView workbookViewId="0">
      <selection activeCell="B3" sqref="B3"/>
    </sheetView>
  </sheetViews>
  <sheetFormatPr defaultRowHeight="14.4" x14ac:dyDescent="0.3"/>
  <cols>
    <col min="2" max="2" width="34.5546875" customWidth="1"/>
    <col min="3" max="3" width="35.109375" customWidth="1"/>
    <col min="4" max="4" width="30.33203125" customWidth="1"/>
    <col min="5" max="9" width="19" customWidth="1"/>
  </cols>
  <sheetData>
    <row r="1" spans="1:9" ht="15" thickBot="1" x14ac:dyDescent="0.35">
      <c r="A1" s="114" t="s">
        <v>321</v>
      </c>
      <c r="B1" s="115"/>
      <c r="C1" s="116" t="str">
        <f>IF(ISERROR(HLOOKUP(B3,D3:I3,1,0)),"N","Y")</f>
        <v>N</v>
      </c>
    </row>
    <row r="3" spans="1:9" x14ac:dyDescent="0.3">
      <c r="A3" s="25" t="s">
        <v>251</v>
      </c>
      <c r="B3" s="25">
        <f>'PRSA Transfer Form'!B22</f>
        <v>0</v>
      </c>
      <c r="C3" s="25" t="s">
        <v>257</v>
      </c>
      <c r="D3" s="37" t="s">
        <v>242</v>
      </c>
      <c r="E3" s="37" t="s">
        <v>243</v>
      </c>
      <c r="F3" s="37" t="s">
        <v>244</v>
      </c>
      <c r="G3" s="37" t="s">
        <v>245</v>
      </c>
      <c r="H3" s="37" t="s">
        <v>246</v>
      </c>
      <c r="I3" s="37" t="s">
        <v>247</v>
      </c>
    </row>
    <row r="4" spans="1:9" x14ac:dyDescent="0.3">
      <c r="A4" s="37">
        <v>2</v>
      </c>
      <c r="B4" s="17" t="e">
        <f>HLOOKUP($B$3,$D$3:$I$15,A4,0)</f>
        <v>#N/A</v>
      </c>
      <c r="C4" s="37">
        <v>1</v>
      </c>
      <c r="D4" s="74">
        <v>0</v>
      </c>
      <c r="E4" s="74">
        <v>0</v>
      </c>
      <c r="F4" s="74">
        <v>0</v>
      </c>
      <c r="G4" s="74">
        <v>0</v>
      </c>
      <c r="H4" s="74">
        <v>0</v>
      </c>
      <c r="I4" s="74">
        <v>0</v>
      </c>
    </row>
    <row r="5" spans="1:9" x14ac:dyDescent="0.3">
      <c r="A5" s="37">
        <f>A4+1</f>
        <v>3</v>
      </c>
      <c r="B5" s="17" t="e">
        <f t="shared" ref="B5:B11" si="0">HLOOKUP($B$3,$D$3:$I$15,A5,0)</f>
        <v>#N/A</v>
      </c>
      <c r="C5" s="37">
        <v>2</v>
      </c>
      <c r="D5" s="75">
        <v>2.5000000000000001E-3</v>
      </c>
      <c r="E5" s="75">
        <v>1E-3</v>
      </c>
      <c r="F5" s="75">
        <v>1E-3</v>
      </c>
      <c r="G5" s="75">
        <v>1.5E-3</v>
      </c>
      <c r="H5" s="75">
        <v>2.5000000000000001E-3</v>
      </c>
      <c r="I5" s="75">
        <v>1.5E-3</v>
      </c>
    </row>
    <row r="6" spans="1:9" x14ac:dyDescent="0.3">
      <c r="A6" s="37">
        <f t="shared" ref="A6:A11" si="1">A5+1</f>
        <v>4</v>
      </c>
      <c r="B6" s="17" t="e">
        <f t="shared" si="0"/>
        <v>#N/A</v>
      </c>
      <c r="C6" s="37">
        <v>3</v>
      </c>
      <c r="D6" s="75">
        <v>5.0000000000000001E-3</v>
      </c>
      <c r="E6" s="75">
        <v>2.5000000000000001E-3</v>
      </c>
      <c r="F6" s="75">
        <v>2.5000000000000001E-3</v>
      </c>
      <c r="G6" s="75">
        <v>2.5000000000000001E-3</v>
      </c>
      <c r="H6" s="76"/>
      <c r="I6" s="75">
        <v>2.5000000000000001E-3</v>
      </c>
    </row>
    <row r="7" spans="1:9" x14ac:dyDescent="0.3">
      <c r="A7" s="37">
        <f t="shared" si="1"/>
        <v>5</v>
      </c>
      <c r="B7" s="17" t="e">
        <f t="shared" si="0"/>
        <v>#N/A</v>
      </c>
      <c r="C7" s="37">
        <v>4</v>
      </c>
      <c r="D7" s="76"/>
      <c r="E7" s="75">
        <v>5.0000000000000001E-3</v>
      </c>
      <c r="F7" s="75">
        <v>3.5000000000000001E-3</v>
      </c>
      <c r="G7" s="75">
        <v>4.0000000000000001E-3</v>
      </c>
      <c r="H7" s="76"/>
      <c r="I7" s="75">
        <v>4.0000000000000001E-3</v>
      </c>
    </row>
    <row r="8" spans="1:9" x14ac:dyDescent="0.3">
      <c r="A8" s="37">
        <f t="shared" si="1"/>
        <v>6</v>
      </c>
      <c r="B8" s="17" t="e">
        <f t="shared" si="0"/>
        <v>#N/A</v>
      </c>
      <c r="C8" s="37">
        <v>5</v>
      </c>
      <c r="D8" s="76"/>
      <c r="E8" s="75">
        <v>7.4999999999999997E-3</v>
      </c>
      <c r="F8" s="75">
        <v>5.0000000000000001E-3</v>
      </c>
      <c r="G8" s="75">
        <v>5.0000000000000001E-3</v>
      </c>
      <c r="H8" s="76"/>
      <c r="I8" s="75">
        <v>6.4999999999999997E-3</v>
      </c>
    </row>
    <row r="9" spans="1:9" x14ac:dyDescent="0.3">
      <c r="A9" s="37">
        <f t="shared" si="1"/>
        <v>7</v>
      </c>
      <c r="B9" s="17" t="e">
        <f t="shared" si="0"/>
        <v>#N/A</v>
      </c>
      <c r="C9" s="37">
        <v>6</v>
      </c>
      <c r="D9" s="76"/>
      <c r="E9" s="76"/>
      <c r="F9" s="75">
        <v>7.4999999999999997E-3</v>
      </c>
      <c r="G9" s="75">
        <v>6.4999999999999997E-3</v>
      </c>
      <c r="H9" s="76"/>
      <c r="I9" s="75">
        <v>8.9999999999999993E-3</v>
      </c>
    </row>
    <row r="10" spans="1:9" x14ac:dyDescent="0.3">
      <c r="A10" s="37">
        <f t="shared" si="1"/>
        <v>8</v>
      </c>
      <c r="B10" s="17" t="e">
        <f t="shared" si="0"/>
        <v>#N/A</v>
      </c>
      <c r="C10" s="37">
        <v>7</v>
      </c>
      <c r="D10" s="76"/>
      <c r="E10" s="76"/>
      <c r="F10" s="74">
        <v>0.01</v>
      </c>
      <c r="G10" s="75">
        <v>8.9999999999999993E-3</v>
      </c>
      <c r="H10" s="76"/>
      <c r="I10" s="76"/>
    </row>
    <row r="11" spans="1:9" x14ac:dyDescent="0.3">
      <c r="A11" s="37">
        <f t="shared" si="1"/>
        <v>9</v>
      </c>
      <c r="B11" s="17" t="e">
        <f t="shared" si="0"/>
        <v>#N/A</v>
      </c>
      <c r="C11" s="37">
        <v>8</v>
      </c>
      <c r="D11" s="76"/>
      <c r="E11" s="76"/>
      <c r="F11" s="76"/>
      <c r="G11" s="76"/>
      <c r="H11" s="76"/>
      <c r="I11" s="76"/>
    </row>
    <row r="13" spans="1:9" ht="15" thickBot="1" x14ac:dyDescent="0.35">
      <c r="A13" s="25" t="s">
        <v>251</v>
      </c>
      <c r="B13" s="78">
        <f>'PRSA Transfer Form'!B24</f>
        <v>0</v>
      </c>
      <c r="C13" s="25" t="str">
        <f>VLOOKUP(B13,B3:C11,2,0)</f>
        <v>Option number</v>
      </c>
      <c r="D13" s="25" t="str">
        <f>B3&amp;C13</f>
        <v>0Option number</v>
      </c>
      <c r="E13" s="25" t="e">
        <f>VLOOKUP($D$13,$B$15:$C$44,2,0)</f>
        <v>#N/A</v>
      </c>
    </row>
    <row r="14" spans="1:9" x14ac:dyDescent="0.3">
      <c r="B14" s="103" t="s">
        <v>258</v>
      </c>
      <c r="C14" t="s">
        <v>259</v>
      </c>
      <c r="H14" s="104" t="s">
        <v>260</v>
      </c>
    </row>
    <row r="15" spans="1:9" x14ac:dyDescent="0.3">
      <c r="B15" s="5" t="s">
        <v>261</v>
      </c>
      <c r="C15" t="str">
        <f>H17</f>
        <v>Aviva PRSA Option 3   - (APP/F/977/NS)</v>
      </c>
      <c r="H15" s="105" t="s">
        <v>83</v>
      </c>
    </row>
    <row r="16" spans="1:9" x14ac:dyDescent="0.3">
      <c r="B16" s="5" t="s">
        <v>262</v>
      </c>
      <c r="C16" t="str">
        <f>H18</f>
        <v>Aviva PRSA Option 4 - (APP/F/978/NS)</v>
      </c>
      <c r="H16" s="105" t="s">
        <v>84</v>
      </c>
    </row>
    <row r="17" spans="2:8" x14ac:dyDescent="0.3">
      <c r="B17" s="5" t="s">
        <v>263</v>
      </c>
      <c r="C17" t="str">
        <f>H19</f>
        <v>Aviva PRSA Option 5 - (APP/F/979/NS)</v>
      </c>
      <c r="H17" s="105" t="s">
        <v>85</v>
      </c>
    </row>
    <row r="18" spans="2:8" x14ac:dyDescent="0.3">
      <c r="B18" s="5" t="s">
        <v>264</v>
      </c>
      <c r="C18" t="str">
        <f>H15</f>
        <v>Aviva PRSA Option 1   - (APP/F/975/NS)</v>
      </c>
      <c r="H18" s="105" t="s">
        <v>86</v>
      </c>
    </row>
    <row r="19" spans="2:8" x14ac:dyDescent="0.3">
      <c r="B19" s="5" t="s">
        <v>265</v>
      </c>
      <c r="C19" t="str">
        <f>H16</f>
        <v>Aviva PRSA Option 2   - (APP/F/976/NS)</v>
      </c>
      <c r="H19" s="105" t="s">
        <v>87</v>
      </c>
    </row>
    <row r="20" spans="2:8" x14ac:dyDescent="0.3">
      <c r="B20" s="5" t="s">
        <v>266</v>
      </c>
      <c r="C20" t="str">
        <f>H17</f>
        <v>Aviva PRSA Option 3   - (APP/F/977/NS)</v>
      </c>
      <c r="H20" s="105" t="s">
        <v>88</v>
      </c>
    </row>
    <row r="21" spans="2:8" x14ac:dyDescent="0.3">
      <c r="B21" s="5" t="s">
        <v>267</v>
      </c>
      <c r="C21" t="str">
        <f>H18</f>
        <v>Aviva PRSA Option 4 - (APP/F/978/NS)</v>
      </c>
      <c r="H21" s="105" t="s">
        <v>89</v>
      </c>
    </row>
    <row r="22" spans="2:8" x14ac:dyDescent="0.3">
      <c r="B22" s="5" t="s">
        <v>268</v>
      </c>
      <c r="C22" t="str">
        <f>H19</f>
        <v>Aviva PRSA Option 5 - (APP/F/979/NS)</v>
      </c>
      <c r="H22" s="105" t="s">
        <v>90</v>
      </c>
    </row>
    <row r="23" spans="2:8" x14ac:dyDescent="0.3">
      <c r="B23" s="5" t="s">
        <v>269</v>
      </c>
      <c r="C23" t="str">
        <f t="shared" ref="C23:C29" si="2">H21</f>
        <v>Aviva PRSA Option 7 - (APP/F/981/NS)</v>
      </c>
      <c r="H23" s="105" t="s">
        <v>91</v>
      </c>
    </row>
    <row r="24" spans="2:8" x14ac:dyDescent="0.3">
      <c r="B24" s="5" t="s">
        <v>270</v>
      </c>
      <c r="C24" t="str">
        <f t="shared" si="2"/>
        <v>Aviva PRSA Option 8 - (APP/F/982/NS)</v>
      </c>
      <c r="H24" s="105" t="s">
        <v>92</v>
      </c>
    </row>
    <row r="25" spans="2:8" x14ac:dyDescent="0.3">
      <c r="B25" s="5" t="s">
        <v>271</v>
      </c>
      <c r="C25" t="str">
        <f t="shared" si="2"/>
        <v>Aviva PRSA Option 9 - (APP/F/983/NS)</v>
      </c>
      <c r="H25" s="105" t="s">
        <v>93</v>
      </c>
    </row>
    <row r="26" spans="2:8" x14ac:dyDescent="0.3">
      <c r="B26" s="5" t="s">
        <v>272</v>
      </c>
      <c r="C26" t="str">
        <f t="shared" si="2"/>
        <v>Aviva PRSA Option 10 - (APP/F/984/NS)</v>
      </c>
      <c r="H26" s="105" t="s">
        <v>94</v>
      </c>
    </row>
    <row r="27" spans="2:8" x14ac:dyDescent="0.3">
      <c r="B27" s="5" t="s">
        <v>273</v>
      </c>
      <c r="C27" t="str">
        <f t="shared" si="2"/>
        <v>Aviva PRSA Option 11 - (APP/F/985/NS)</v>
      </c>
      <c r="H27" s="105" t="s">
        <v>95</v>
      </c>
    </row>
    <row r="28" spans="2:8" x14ac:dyDescent="0.3">
      <c r="B28" s="5" t="s">
        <v>274</v>
      </c>
      <c r="C28" t="str">
        <f t="shared" si="2"/>
        <v>Aviva PRSA Option 12 - (APP/F/986/NS)</v>
      </c>
      <c r="H28" s="105" t="s">
        <v>96</v>
      </c>
    </row>
    <row r="29" spans="2:8" x14ac:dyDescent="0.3">
      <c r="B29" s="5" t="s">
        <v>275</v>
      </c>
      <c r="C29" t="str">
        <f t="shared" si="2"/>
        <v>Aviva PRSA Option 13 - (APP/F/987/NS)</v>
      </c>
      <c r="H29" s="105" t="s">
        <v>97</v>
      </c>
    </row>
    <row r="30" spans="2:8" x14ac:dyDescent="0.3">
      <c r="B30" s="5" t="s">
        <v>276</v>
      </c>
      <c r="C30" t="str">
        <f t="shared" ref="C30:C36" si="3">H20</f>
        <v>Aviva PRSA Option 6 - (APP/F/980/NS)</v>
      </c>
      <c r="H30" s="105" t="s">
        <v>98</v>
      </c>
    </row>
    <row r="31" spans="2:8" x14ac:dyDescent="0.3">
      <c r="B31" s="5" t="s">
        <v>277</v>
      </c>
      <c r="C31" t="str">
        <f t="shared" si="3"/>
        <v>Aviva PRSA Option 7 - (APP/F/981/NS)</v>
      </c>
      <c r="H31" s="105" t="s">
        <v>99</v>
      </c>
    </row>
    <row r="32" spans="2:8" ht="15" thickBot="1" x14ac:dyDescent="0.35">
      <c r="B32" s="5" t="s">
        <v>278</v>
      </c>
      <c r="C32" t="str">
        <f t="shared" si="3"/>
        <v>Aviva PRSA Option 8 - (APP/F/982/NS)</v>
      </c>
      <c r="H32" s="106" t="s">
        <v>100</v>
      </c>
    </row>
    <row r="33" spans="2:3" x14ac:dyDescent="0.3">
      <c r="B33" s="5" t="s">
        <v>279</v>
      </c>
      <c r="C33" t="str">
        <f t="shared" si="3"/>
        <v>Aviva PRSA Option 9 - (APP/F/983/NS)</v>
      </c>
    </row>
    <row r="34" spans="2:3" x14ac:dyDescent="0.3">
      <c r="B34" s="5" t="s">
        <v>280</v>
      </c>
      <c r="C34" t="str">
        <f t="shared" si="3"/>
        <v>Aviva PRSA Option 10 - (APP/F/984/NS)</v>
      </c>
    </row>
    <row r="35" spans="2:3" x14ac:dyDescent="0.3">
      <c r="B35" s="5" t="s">
        <v>281</v>
      </c>
      <c r="C35" t="str">
        <f t="shared" si="3"/>
        <v>Aviva PRSA Option 11 - (APP/F/985/NS)</v>
      </c>
    </row>
    <row r="36" spans="2:3" x14ac:dyDescent="0.3">
      <c r="B36" s="5" t="s">
        <v>282</v>
      </c>
      <c r="C36" t="str">
        <f t="shared" si="3"/>
        <v>Aviva PRSA Option 12 - (APP/F/986/NS)</v>
      </c>
    </row>
    <row r="37" spans="2:3" x14ac:dyDescent="0.3">
      <c r="B37" s="5" t="s">
        <v>283</v>
      </c>
      <c r="C37" t="str">
        <f>H26</f>
        <v>Aviva PRSA Option 12 - (APP/F/986/NS)</v>
      </c>
    </row>
    <row r="38" spans="2:3" x14ac:dyDescent="0.3">
      <c r="B38" s="5" t="s">
        <v>284</v>
      </c>
      <c r="C38" t="str">
        <f>H27</f>
        <v>Aviva PRSA Option 13 - (APP/F/987/NS)</v>
      </c>
    </row>
    <row r="39" spans="2:3" x14ac:dyDescent="0.3">
      <c r="B39" s="5" t="s">
        <v>285</v>
      </c>
      <c r="C39" t="str">
        <f t="shared" ref="C39:C44" si="4">H22</f>
        <v>Aviva PRSA Option 8 - (APP/F/982/NS)</v>
      </c>
    </row>
    <row r="40" spans="2:3" x14ac:dyDescent="0.3">
      <c r="B40" s="5" t="s">
        <v>286</v>
      </c>
      <c r="C40" t="str">
        <f t="shared" si="4"/>
        <v>Aviva PRSA Option 9 - (APP/F/983/NS)</v>
      </c>
    </row>
    <row r="41" spans="2:3" x14ac:dyDescent="0.3">
      <c r="B41" s="5" t="s">
        <v>287</v>
      </c>
      <c r="C41" t="str">
        <f t="shared" si="4"/>
        <v>Aviva PRSA Option 10 - (APP/F/984/NS)</v>
      </c>
    </row>
    <row r="42" spans="2:3" x14ac:dyDescent="0.3">
      <c r="B42" s="5" t="s">
        <v>288</v>
      </c>
      <c r="C42" t="str">
        <f t="shared" si="4"/>
        <v>Aviva PRSA Option 11 - (APP/F/985/NS)</v>
      </c>
    </row>
    <row r="43" spans="2:3" x14ac:dyDescent="0.3">
      <c r="B43" s="5" t="s">
        <v>289</v>
      </c>
      <c r="C43" t="str">
        <f t="shared" si="4"/>
        <v>Aviva PRSA Option 12 - (APP/F/986/NS)</v>
      </c>
    </row>
    <row r="44" spans="2:3" x14ac:dyDescent="0.3">
      <c r="B44" s="5" t="s">
        <v>290</v>
      </c>
      <c r="C44" t="str">
        <f t="shared" si="4"/>
        <v>Aviva PRSA Option 13 - (APP/F/987/NS)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aae344-73f1-42a7-b40c-28ed941c39f2">
      <Terms xmlns="http://schemas.microsoft.com/office/infopath/2007/PartnerControls"/>
    </lcf76f155ced4ddcb4097134ff3c332f>
    <TaxCatchAll xmlns="094e4f26-1199-486c-b7fe-bd652cf697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9AB987EDCEF43B7E74B3DB228523A" ma:contentTypeVersion="4" ma:contentTypeDescription="Create a new document." ma:contentTypeScope="" ma:versionID="f2f22e033c4c59a910cf0e66195051ff">
  <xsd:schema xmlns:xsd="http://www.w3.org/2001/XMLSchema" xmlns:xs="http://www.w3.org/2001/XMLSchema" xmlns:p="http://schemas.microsoft.com/office/2006/metadata/properties" xmlns:ns2="43352774-23f9-4011-bbda-82818037ae39" xmlns:ns3="a35a8576-95ee-4802-9c3c-2df47ce4e4ae" xmlns:ns4="e5aae344-73f1-42a7-b40c-28ed941c39f2" xmlns:ns5="094e4f26-1199-486c-b7fe-bd652cf6975f" targetNamespace="http://schemas.microsoft.com/office/2006/metadata/properties" ma:root="true" ma:fieldsID="140a159dd79b922a6b92b49beb806700" ns2:_="" ns3:_="" ns4:_="" ns5:_="">
    <xsd:import namespace="43352774-23f9-4011-bbda-82818037ae39"/>
    <xsd:import namespace="a35a8576-95ee-4802-9c3c-2df47ce4e4ae"/>
    <xsd:import namespace="e5aae344-73f1-42a7-b40c-28ed941c39f2"/>
    <xsd:import namespace="094e4f26-1199-486c-b7fe-bd652cf697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352774-23f9-4011-bbda-82818037ae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5a8576-95ee-4802-9c3c-2df47ce4e4a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aae344-73f1-42a7-b40c-28ed941c39f2"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9fa9688-5a84-4443-b4e4-818e154da96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4e4f26-1199-486c-b7fe-bd652cf6975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fb31c75-6ce3-46bc-abd0-fb1a7885ba82}" ma:internalName="TaxCatchAll" ma:showField="CatchAllData" ma:web="094e4f26-1199-486c-b7fe-bd652cf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3FBF3A-DD15-40F9-9876-BC65363B419D}">
  <ds:schemaRefs>
    <ds:schemaRef ds:uri="http://schemas.microsoft.com/sharepoint/v3/contenttype/forms"/>
  </ds:schemaRefs>
</ds:datastoreItem>
</file>

<file path=customXml/itemProps2.xml><?xml version="1.0" encoding="utf-8"?>
<ds:datastoreItem xmlns:ds="http://schemas.openxmlformats.org/officeDocument/2006/customXml" ds:itemID="{00E92DBF-1A0E-4F27-9D76-10B3B4B2CD3E}">
  <ds:schemaRef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a35a8576-95ee-4802-9c3c-2df47ce4e4ae"/>
    <ds:schemaRef ds:uri="http://purl.org/dc/terms/"/>
    <ds:schemaRef ds:uri="e5aae344-73f1-42a7-b40c-28ed941c39f2"/>
    <ds:schemaRef ds:uri="43352774-23f9-4011-bbda-82818037ae39"/>
    <ds:schemaRef ds:uri="http://schemas.microsoft.com/office/2006/documentManagement/types"/>
    <ds:schemaRef ds:uri="http://purl.org/dc/elements/1.1/"/>
    <ds:schemaRef ds:uri="http://purl.org/dc/dcmitype/"/>
    <ds:schemaRef ds:uri="094e4f26-1199-486c-b7fe-bd652cf6975f"/>
  </ds:schemaRefs>
</ds:datastoreItem>
</file>

<file path=customXml/itemProps3.xml><?xml version="1.0" encoding="utf-8"?>
<ds:datastoreItem xmlns:ds="http://schemas.openxmlformats.org/officeDocument/2006/customXml" ds:itemID="{883AE1DC-3410-4FC6-925E-661736DC3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352774-23f9-4011-bbda-82818037ae39"/>
    <ds:schemaRef ds:uri="a35a8576-95ee-4802-9c3c-2df47ce4e4ae"/>
    <ds:schemaRef ds:uri="e5aae344-73f1-42a7-b40c-28ed941c39f2"/>
    <ds:schemaRef ds:uri="094e4f26-1199-486c-b7fe-bd652cf69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PRSA Transfer Form</vt:lpstr>
      <vt:lpstr>Providers</vt:lpstr>
      <vt:lpstr>AMC</vt:lpstr>
      <vt:lpstr>Aviva Commission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LCP Certificate of Comparison data template</dc:title>
  <dc:subject/>
  <dc:creator>John Lynch</dc:creator>
  <cp:keywords/>
  <dc:description/>
  <cp:lastModifiedBy>Hayley Dove (LCP)</cp:lastModifiedBy>
  <cp:revision/>
  <dcterms:created xsi:type="dcterms:W3CDTF">2012-03-05T10:08:03Z</dcterms:created>
  <dcterms:modified xsi:type="dcterms:W3CDTF">2024-09-04T15:33:54Z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0x01010092B9AB987EDCEF43B7E74B3DB228523A</vt:lpwstr>
  </property>
  <property fmtid="{D5CDD505-2E9C-101B-9397-08002B2CF9AE}" pid="3" name="MediaServiceImageTags">
    <vt:lpwstr/>
  </property>
</Properties>
</file>